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2516" windowHeight="5316" tabRatio="1000" activeTab="1"/>
  </bookViews>
  <sheets>
    <sheet name="Form 1b ABR Summary" sheetId="1" r:id="rId1"/>
    <sheet name="Form 1a ABR Office" sheetId="2" r:id="rId2"/>
  </sheets>
  <definedNames>
    <definedName name="_xlnm.Print_Area" localSheetId="1">'Form 1a ABR Office'!$A$1:$I$1638</definedName>
    <definedName name="_xlnm.Print_Area" localSheetId="0">'Form 1b ABR Summary'!$A$1:$J$888</definedName>
  </definedNames>
  <calcPr fullCalcOnLoad="1"/>
</workbook>
</file>

<file path=xl/comments2.xml><?xml version="1.0" encoding="utf-8"?>
<comments xmlns="http://schemas.openxmlformats.org/spreadsheetml/2006/main">
  <authors>
    <author>ACER</author>
  </authors>
  <commentList>
    <comment ref="C1401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</t>
        </r>
      </text>
    </comment>
    <comment ref="A1561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<sst xmlns="http://schemas.openxmlformats.org/spreadsheetml/2006/main" count="2239" uniqueCount="711">
  <si>
    <t>Year-end Bonus</t>
  </si>
  <si>
    <t>Total</t>
  </si>
  <si>
    <t>LBP Form No. 1</t>
  </si>
  <si>
    <t>General Fund</t>
  </si>
  <si>
    <t>CURRENT YEAR</t>
  </si>
  <si>
    <t>Account</t>
  </si>
  <si>
    <t>Income</t>
  </si>
  <si>
    <t>Past Year</t>
  </si>
  <si>
    <t>First Semester</t>
  </si>
  <si>
    <t>Second Semester</t>
  </si>
  <si>
    <t>Budget Year</t>
  </si>
  <si>
    <t>Particulars</t>
  </si>
  <si>
    <t>Code</t>
  </si>
  <si>
    <t>Classification</t>
  </si>
  <si>
    <t>(Actual)</t>
  </si>
  <si>
    <t>(Estimate)</t>
  </si>
  <si>
    <t>I.  Beginning Cash Balance</t>
  </si>
  <si>
    <t xml:space="preserve">    Continuing Appropriation</t>
  </si>
  <si>
    <t>II. Receipts</t>
  </si>
  <si>
    <t xml:space="preserve">    A. Local Sources</t>
  </si>
  <si>
    <t xml:space="preserve">         1. Tax Revenue</t>
  </si>
  <si>
    <t xml:space="preserve">             a.  Real Property Tax (RPT)</t>
  </si>
  <si>
    <t xml:space="preserve">             b.  Special Education Tax</t>
  </si>
  <si>
    <t xml:space="preserve">             c. Other Local Taxes</t>
  </si>
  <si>
    <t xml:space="preserve">             Total Tax Revenue</t>
  </si>
  <si>
    <t xml:space="preserve">        2. Non-Tax Revenue</t>
  </si>
  <si>
    <t xml:space="preserve">            a. Regulatory Fees</t>
  </si>
  <si>
    <t xml:space="preserve">                1.License Fees</t>
  </si>
  <si>
    <t xml:space="preserve">                2. Permit Fees</t>
  </si>
  <si>
    <t xml:space="preserve">                3. Other Fees</t>
  </si>
  <si>
    <t xml:space="preserve">            b. Business and Service Income</t>
  </si>
  <si>
    <t xml:space="preserve">            c. Other Income/Receipts</t>
  </si>
  <si>
    <t xml:space="preserve">            Total Non-Tax Revenue</t>
  </si>
  <si>
    <t xml:space="preserve">    B. External Sources</t>
  </si>
  <si>
    <t xml:space="preserve">         1. Share from National Tax Collection (IRA)</t>
  </si>
  <si>
    <t xml:space="preserve">         2. Share from GOCCs (PAGCOR &amp; PCSO)</t>
  </si>
  <si>
    <t xml:space="preserve">         3. Other Share from National Tax Collection</t>
  </si>
  <si>
    <t xml:space="preserve">             a. Share from EVAT</t>
  </si>
  <si>
    <t xml:space="preserve">             b.. Share from National Wealth</t>
  </si>
  <si>
    <t xml:space="preserve">         4. Extraordinary Receipts</t>
  </si>
  <si>
    <t xml:space="preserve">             a. Grants and Donations</t>
  </si>
  <si>
    <t xml:space="preserve">             b. Other Subsidy Income</t>
  </si>
  <si>
    <t xml:space="preserve">         5. Inter-local Transfers</t>
  </si>
  <si>
    <t xml:space="preserve">             a. Subsidy from LGUs</t>
  </si>
  <si>
    <t xml:space="preserve">             b. Subsidy from Other Funds</t>
  </si>
  <si>
    <t xml:space="preserve">         6. Capital/Investment Receipts</t>
  </si>
  <si>
    <t xml:space="preserve">              a. Gain on Sale of Assets</t>
  </si>
  <si>
    <t xml:space="preserve">              b. Gain on Investments</t>
  </si>
  <si>
    <t xml:space="preserve">   C. Receipts from Loans and Borrowings</t>
  </si>
  <si>
    <t>Total Receipts</t>
  </si>
  <si>
    <t>Total Available Resources for Appropriation</t>
  </si>
  <si>
    <t>III. Expenditures</t>
  </si>
  <si>
    <t>Salaries</t>
  </si>
  <si>
    <t>PERA</t>
  </si>
  <si>
    <t>Representation Allowance</t>
  </si>
  <si>
    <t>Transportation Allowance</t>
  </si>
  <si>
    <t>Subsistance Allowance</t>
  </si>
  <si>
    <t>Productivity Enhancement Incentive</t>
  </si>
  <si>
    <t>Hazard Pay</t>
  </si>
  <si>
    <t>Cash Gift</t>
  </si>
  <si>
    <t>Mid Year</t>
  </si>
  <si>
    <t>PAG-IBIG Contributions</t>
  </si>
  <si>
    <t>PHILHEALTH Contributions</t>
  </si>
  <si>
    <t>Laundry Allowance</t>
  </si>
  <si>
    <t>Terminal Leave Benefits</t>
  </si>
  <si>
    <t>Extra Hazard Premuims</t>
  </si>
  <si>
    <t>Other Personnel Benefits</t>
  </si>
  <si>
    <t>Total Personal Services</t>
  </si>
  <si>
    <t>Maintenance &amp; Other Operating Expenditures</t>
  </si>
  <si>
    <t>Travelling Expenses</t>
  </si>
  <si>
    <t>Office Supplies Expenses</t>
  </si>
  <si>
    <t>Accountable Forms</t>
  </si>
  <si>
    <t>Veterinary Drug/Crop Production Program</t>
  </si>
  <si>
    <t>Gasoline, Oil &amp; Lubricants Expenses</t>
  </si>
  <si>
    <t>Printed Forms</t>
  </si>
  <si>
    <t>Postage &amp; Deliveries</t>
  </si>
  <si>
    <t>Page 2</t>
  </si>
  <si>
    <t>Vice Mayors League of the Phillippines</t>
  </si>
  <si>
    <t>Security and Janitorial Services</t>
  </si>
  <si>
    <t>Confidential  Expenses</t>
  </si>
  <si>
    <t>Discretionary Fund</t>
  </si>
  <si>
    <t>Miscellaneous Expenses</t>
  </si>
  <si>
    <t>Repair and Maintenace- Office Equipment</t>
  </si>
  <si>
    <t>RPTA Program</t>
  </si>
  <si>
    <t>Aid to Legislation</t>
  </si>
  <si>
    <t>Tax Information Campaign</t>
  </si>
  <si>
    <t>Rabbies Vaccines(Downloaded to Prov'l.</t>
  </si>
  <si>
    <t>POPCOM Services</t>
  </si>
  <si>
    <t>Total Maintenance and Other Operating Expenditures</t>
  </si>
  <si>
    <t>Capital Outlay</t>
  </si>
  <si>
    <t>Office Equipment</t>
  </si>
  <si>
    <t>Furniture &amp; Fixture</t>
  </si>
  <si>
    <t>IT Equipment</t>
  </si>
  <si>
    <t>Motor Vehicle</t>
  </si>
  <si>
    <t>Total Capital Outlay</t>
  </si>
  <si>
    <t>TOTAL EXPENDITURE</t>
  </si>
  <si>
    <t>Electric Expenses</t>
  </si>
  <si>
    <t>Telephone Expenses</t>
  </si>
  <si>
    <t>Repair &amp; Maintenance - Other Structure (Gym)</t>
  </si>
  <si>
    <t>Motor Vehicle Maintenance</t>
  </si>
  <si>
    <t>Election Expenses</t>
  </si>
  <si>
    <t>MDC Activities</t>
  </si>
  <si>
    <t>Aid to  Barangay</t>
  </si>
  <si>
    <t>Support to Indigenous People</t>
  </si>
  <si>
    <t>League of Municipality</t>
  </si>
  <si>
    <t>CBMS</t>
  </si>
  <si>
    <t>Support to  Management Evaluation &amp; Enhancement Program</t>
  </si>
  <si>
    <t>Support to Community Development Program</t>
  </si>
  <si>
    <t>Naliyagan Festival</t>
  </si>
  <si>
    <t>Promotion Investment Program</t>
  </si>
  <si>
    <t>Tourism Activity</t>
  </si>
  <si>
    <t xml:space="preserve">Death and Accident </t>
  </si>
  <si>
    <t>Philhealth para sa Masa</t>
  </si>
  <si>
    <t>Municipal Counterpart to KALAHI Project</t>
  </si>
  <si>
    <t>Page 3</t>
  </si>
  <si>
    <t>Peace &amp; Order Program:</t>
  </si>
  <si>
    <t>Support to PNP Operation/Services</t>
  </si>
  <si>
    <t>Intensified Police Visibility Patrol</t>
  </si>
  <si>
    <t>Establish and Conduct Police Checkpoints/Chokepoints</t>
  </si>
  <si>
    <t>Operationalization of Mun. Peace &amp; Order Council (MPOC)</t>
  </si>
  <si>
    <t>Training/Seminar/Workshop in relation to Maintenance of Peace &amp; Order</t>
  </si>
  <si>
    <t>Provision of Basic Gadgets for the Barangay Tanod</t>
  </si>
  <si>
    <t>Provision of Support to the Implementation of Katarungang Pambarangay</t>
  </si>
  <si>
    <t>Neutralization of CPP/NPA Routes</t>
  </si>
  <si>
    <t>Conduct of Community Organizing &amp; Re-organizing activities</t>
  </si>
  <si>
    <t>Conduct school peace and development program</t>
  </si>
  <si>
    <t>Promotion and Advocacy on Peace and Development</t>
  </si>
  <si>
    <t>Gender  &amp; Development</t>
  </si>
  <si>
    <t>Scholarship Grants</t>
  </si>
  <si>
    <t>Assistance to Bunawan Emergency Hospital</t>
  </si>
  <si>
    <t>Support to Tertiary Education</t>
  </si>
  <si>
    <t>Electricity Expenses</t>
  </si>
  <si>
    <t>Health &amp; Wellness Program &amp; Activities</t>
  </si>
  <si>
    <t>Page 4</t>
  </si>
  <si>
    <t>Subsidy to National Government:</t>
  </si>
  <si>
    <t>Commission on Audit</t>
  </si>
  <si>
    <t>Philippine National Red Cross</t>
  </si>
  <si>
    <t>Assistance to Municipal Circuit Trial Court</t>
  </si>
  <si>
    <t>Assistance to Bureau of Fire Protection</t>
  </si>
  <si>
    <t>Social Development:</t>
  </si>
  <si>
    <t>Economic Development</t>
  </si>
  <si>
    <t>1) Barangay Development Projects</t>
  </si>
  <si>
    <t>2) Amortization of Loans</t>
  </si>
  <si>
    <t xml:space="preserve">      a) Community Based Resource Manage-</t>
  </si>
  <si>
    <t>Other Services</t>
  </si>
  <si>
    <t>Environmental Management</t>
  </si>
  <si>
    <t>5% DISASTER RISK REDUCTION &amp; MANAGEMENT FUND</t>
  </si>
  <si>
    <t>30% Quick Response Fund</t>
  </si>
  <si>
    <t>70% LDRRMF</t>
  </si>
  <si>
    <t>Total Expenditure</t>
  </si>
  <si>
    <t>IV. Ending Balance (1 - 11) - 111</t>
  </si>
  <si>
    <t>Certified Correct:</t>
  </si>
  <si>
    <t xml:space="preserve">                LUZMINDA MANIPON-LANUZA</t>
  </si>
  <si>
    <t xml:space="preserve">           Municipal Treasurer</t>
  </si>
  <si>
    <t>Municipal Accountant</t>
  </si>
  <si>
    <t>Municipal Mayor</t>
  </si>
  <si>
    <t>Market &amp; Slaughterhouse</t>
  </si>
  <si>
    <t xml:space="preserve">         1. Extraordinary Receipts</t>
  </si>
  <si>
    <t xml:space="preserve">         2. Inter-local Transfers</t>
  </si>
  <si>
    <t>Personal Services</t>
  </si>
  <si>
    <t>Extra-Hazard Premiums</t>
  </si>
  <si>
    <t>Total Personal Services Expenditures</t>
  </si>
  <si>
    <t>Maintenace &amp; Other Operating Expenditures</t>
  </si>
  <si>
    <t>Electric Power, Water</t>
  </si>
  <si>
    <t>Other Machineries &amp; Equipment</t>
  </si>
  <si>
    <t>LUZMINDA MANIPON-LANUZA</t>
  </si>
  <si>
    <t>ANASTACIO C. BURDEOS,JR.</t>
  </si>
  <si>
    <t>Municipal Treasurer</t>
  </si>
  <si>
    <t>MPDC</t>
  </si>
  <si>
    <t xml:space="preserve"> Municipal Accountant</t>
  </si>
  <si>
    <t>Public Transport Operation</t>
  </si>
  <si>
    <t>Security &amp; Janitorial Services</t>
  </si>
  <si>
    <t>Total Maintenace &amp; Other Operating Expenditures</t>
  </si>
  <si>
    <t xml:space="preserve"> Municipal Treasurer</t>
  </si>
  <si>
    <t xml:space="preserve"> MPDC</t>
  </si>
  <si>
    <t>Trento Water System</t>
  </si>
  <si>
    <t>Training Expenses</t>
  </si>
  <si>
    <t>Chemical Disinfectant</t>
  </si>
  <si>
    <t>Office Supplies</t>
  </si>
  <si>
    <t>Medical &amp; Diagnostic Operation</t>
  </si>
  <si>
    <t>LBF Form No. 2</t>
  </si>
  <si>
    <t>Object of Expenditures</t>
  </si>
  <si>
    <t>(Proposed)</t>
  </si>
  <si>
    <t>(1).</t>
  </si>
  <si>
    <t>(2).</t>
  </si>
  <si>
    <t>(3).</t>
  </si>
  <si>
    <t>(4).</t>
  </si>
  <si>
    <t>(5).</t>
  </si>
  <si>
    <t>(6).</t>
  </si>
  <si>
    <t>(7).</t>
  </si>
  <si>
    <t>Current Operating Expenditures</t>
  </si>
  <si>
    <t>Maintenance &amp; Other Operating</t>
  </si>
  <si>
    <t>Total Maintenance and</t>
  </si>
  <si>
    <t>Other Operating Expenditures</t>
  </si>
  <si>
    <t xml:space="preserve">Office Equipment </t>
  </si>
  <si>
    <t>Furniture and Fixture</t>
  </si>
  <si>
    <t xml:space="preserve">Prepared by:                                                              </t>
  </si>
  <si>
    <t>Reviewed by:</t>
  </si>
  <si>
    <t>Approved by:</t>
  </si>
  <si>
    <t>Expenditures</t>
  </si>
  <si>
    <t>Vice Mayor League of the Philippines</t>
  </si>
  <si>
    <t>TOTAL VICE MAYOR APPROPRIATIONS</t>
  </si>
  <si>
    <t>Municipal Vice Mayor</t>
  </si>
  <si>
    <t>TOTAL SB APPROPRIATIONS</t>
  </si>
  <si>
    <t>WILLIAM E. CALVEZ, CE</t>
  </si>
  <si>
    <t>Furniture &amp; Fixtures</t>
  </si>
  <si>
    <t>TOTAL SECRETARY TO THE SB APPROPRIATIONS</t>
  </si>
  <si>
    <t>Extra Hazard Premiums</t>
  </si>
  <si>
    <t>TOTAL ADMINISTRATIVE APPROPRIATIONS</t>
  </si>
  <si>
    <t xml:space="preserve">   Municipal Mayor</t>
  </si>
  <si>
    <t>TOTAL MPDS APPROPRIATIONS</t>
  </si>
  <si>
    <t xml:space="preserve">    ANASTACIO C. BURDEOS, JR.</t>
  </si>
  <si>
    <t>TOTAL LCR APPROPRIATIONS</t>
  </si>
  <si>
    <t xml:space="preserve">    Municipal Mayor</t>
  </si>
  <si>
    <t>IT Equipment and Software</t>
  </si>
  <si>
    <t>TOTAL BUDGET APPROPRIATIONS</t>
  </si>
  <si>
    <t>TOTAL ACCOUNTING APPROPRIATIONS</t>
  </si>
  <si>
    <t>Printed forms</t>
  </si>
  <si>
    <t>TOTAL TREASURY APPROPRIATIONS</t>
  </si>
  <si>
    <t>LUZMINDA M. LANUZA</t>
  </si>
  <si>
    <t>Repair &amp; Maintenance- Office Equipment</t>
  </si>
  <si>
    <t>Repair &amp; Maintenance- Motor Vehicle</t>
  </si>
  <si>
    <t>TOTAL ASSESSOR APPROPRIATIONS</t>
  </si>
  <si>
    <t>JOEL B. ELLOSO, REA, REB</t>
  </si>
  <si>
    <t xml:space="preserve">        Municipal Assessor</t>
  </si>
  <si>
    <t xml:space="preserve">    </t>
  </si>
  <si>
    <t>TOTAL ENGINEERING APPROPRIATIONS</t>
  </si>
  <si>
    <t>Subsistence Allowance</t>
  </si>
  <si>
    <t>Veterinary drug/Crop Production Prog.</t>
  </si>
  <si>
    <t xml:space="preserve">  Veterinary Office as Equity of the LGU)</t>
  </si>
  <si>
    <t>TOTAL AGRICULTURE APPROPRIATION</t>
  </si>
  <si>
    <t>Second semester</t>
  </si>
  <si>
    <t>TOTAL MSWD APPROPRIATIONS</t>
  </si>
  <si>
    <t>TOTAL MENRO APPROPRIATIONS</t>
  </si>
  <si>
    <t>LUDIVINA M. CORNELLA</t>
  </si>
  <si>
    <t>.</t>
  </si>
  <si>
    <t>Support to Agricultural Program &amp; Services</t>
  </si>
  <si>
    <t>Assistance to DILG</t>
  </si>
  <si>
    <t>Support to BIR</t>
  </si>
  <si>
    <t>Support to COMELEC</t>
  </si>
  <si>
    <t>Support to Local Economic Enterprises</t>
  </si>
  <si>
    <t>Trento Watersystem</t>
  </si>
  <si>
    <t>Medical &amp; Diagnostic Center</t>
  </si>
  <si>
    <t xml:space="preserve"> ment Program (CBRMP)</t>
  </si>
  <si>
    <t xml:space="preserve">GRAND TOTAL </t>
  </si>
  <si>
    <t>LBP Form No. 2a</t>
  </si>
  <si>
    <t xml:space="preserve"> </t>
  </si>
  <si>
    <t>Conduct Security/Patrol and Combat Operation</t>
  </si>
  <si>
    <t>3) Concreting/Improvement of Municipal Streets</t>
  </si>
  <si>
    <t>Electrical Expenses</t>
  </si>
  <si>
    <t>Honoraria (Physician)</t>
  </si>
  <si>
    <t>Medical, Dental &amp; Lab. Supplies Expenses</t>
  </si>
  <si>
    <t>Cable Expenses</t>
  </si>
  <si>
    <t>Point of Care Program</t>
  </si>
  <si>
    <t>PAG-IBIG Contribution</t>
  </si>
  <si>
    <t>PHILHEALTH Contribution</t>
  </si>
  <si>
    <t>GRAND TOTAL</t>
  </si>
  <si>
    <t>Insurance, Registration of Govt. Property</t>
  </si>
  <si>
    <t>DICT Program</t>
  </si>
  <si>
    <t>Fidelity Bond Premium</t>
  </si>
  <si>
    <t>Assistance to RTC</t>
  </si>
  <si>
    <t xml:space="preserve">       Municipal Vice Mayor</t>
  </si>
  <si>
    <t>Employee Compensation Ins. Prem. (ECC)</t>
  </si>
  <si>
    <t>Fuel, Oil and Lubricants Expenses</t>
  </si>
  <si>
    <t>Special Purpose Appropriations (SPAs)</t>
  </si>
  <si>
    <t>Other General Services</t>
  </si>
  <si>
    <t>Honoraria (30% Professional Fee)</t>
  </si>
  <si>
    <t>Water Expenses</t>
  </si>
  <si>
    <t xml:space="preserve"> LUZMINDA MANIPON-LANUZA</t>
  </si>
  <si>
    <t xml:space="preserve">                                                                                       Approved by:</t>
  </si>
  <si>
    <t xml:space="preserve">                                                                                      Approved by:</t>
  </si>
  <si>
    <t xml:space="preserve">                                                                                    Approved by:</t>
  </si>
  <si>
    <t xml:space="preserve">                                                                                            Approved by:</t>
  </si>
  <si>
    <t>BUDGET OF EXPENDITURES AND SOURCE OF FINANCING</t>
  </si>
  <si>
    <t>Municipality of Trento</t>
  </si>
  <si>
    <t>PROGRAMMED APPROPRIATION AND OBLIGATION BY OBJECT OF EXPENDITURE</t>
  </si>
  <si>
    <t>Programmed Appropriation and Obligation for Special Purpose Appropriations</t>
  </si>
  <si>
    <t xml:space="preserve">       Municipal Councilor</t>
  </si>
  <si>
    <t>Page 5</t>
  </si>
  <si>
    <t>`</t>
  </si>
  <si>
    <t>Performance Base Bonus</t>
  </si>
  <si>
    <t>LBP Form No. 2</t>
  </si>
  <si>
    <t xml:space="preserve">  - Heavy Equipment</t>
  </si>
  <si>
    <t>Personnel Benefits Bonus</t>
  </si>
  <si>
    <t>Subsidy to Other Agency:</t>
  </si>
  <si>
    <t>Assistance to Barangay Health Workers (Honorarium)</t>
  </si>
  <si>
    <t>Support to Barangay Nutrition Scholar (Honorarium)</t>
  </si>
  <si>
    <t>Honorarium</t>
  </si>
  <si>
    <t>Early Childhood Care &amp; Development Program</t>
  </si>
  <si>
    <t>Banga sa Kahinlo Program</t>
  </si>
  <si>
    <t>Health &amp; Sanitation Program</t>
  </si>
  <si>
    <t>Security, Janitorial and Other Management Support Services</t>
  </si>
  <si>
    <t>Basic Health Services</t>
  </si>
  <si>
    <t xml:space="preserve">Loyalty Ring (Retirees) </t>
  </si>
  <si>
    <t>Miscellaneous Personnel Benefit Fund</t>
  </si>
  <si>
    <t>Support to Bids and Awards Committee</t>
  </si>
  <si>
    <t>Drugs and Medicine</t>
  </si>
  <si>
    <t>4 P's and Other Convergence Program</t>
  </si>
  <si>
    <t>Nutrition Program</t>
  </si>
  <si>
    <t>HIV-AIDS IEC, Voluntary Counseling &amp; Testing Program</t>
  </si>
  <si>
    <t>1) Support to Counterpart of USAD</t>
  </si>
  <si>
    <t xml:space="preserve">      c.) New Loans - CY 2018</t>
  </si>
  <si>
    <t>Repair and Maintenance - Slaughterhouses</t>
  </si>
  <si>
    <t>Extra-Hazard Premuims</t>
  </si>
  <si>
    <t>Provision od Support to the Implementation of Katarungang Pambarangay</t>
  </si>
  <si>
    <t>Conduct Training/Seminar for the Brgy. Peace &amp; Order Committee</t>
  </si>
  <si>
    <t>Provision of Benefits to Brgy. Tanods</t>
  </si>
  <si>
    <t>Maintenance of Integrated Territorial Defense System with</t>
  </si>
  <si>
    <t>Light a Park</t>
  </si>
  <si>
    <t xml:space="preserve">   HARVEY R. MANTO</t>
  </si>
  <si>
    <t xml:space="preserve">        MSWDO</t>
  </si>
  <si>
    <t>Medical, Dental &amp; Lab. Services</t>
  </si>
  <si>
    <t xml:space="preserve">       Municipal Civil Registrar</t>
  </si>
  <si>
    <t xml:space="preserve">                   MENRO</t>
  </si>
  <si>
    <t>Work/ Job Placement</t>
  </si>
  <si>
    <t>D. Unexpended 2012 MDRRMF balance (30% RFQ)</t>
  </si>
  <si>
    <t>Municipal Administrator</t>
  </si>
  <si>
    <t xml:space="preserve">                        MPDC</t>
  </si>
  <si>
    <t xml:space="preserve">                 MARIGYL B. MARTE</t>
  </si>
  <si>
    <t xml:space="preserve">         GLORIA P. SEVERINO</t>
  </si>
  <si>
    <t xml:space="preserve">   Municipal Treasurer</t>
  </si>
  <si>
    <t>Page 6</t>
  </si>
  <si>
    <t>Capacity Development Program</t>
  </si>
  <si>
    <t>Children Welfare Program</t>
  </si>
  <si>
    <t>Support to Daycare Workers</t>
  </si>
  <si>
    <t>Moral and Social Enhancement Program</t>
  </si>
  <si>
    <t>Strengthening of MCPC</t>
  </si>
  <si>
    <t>Maternal and Child Health Care</t>
  </si>
  <si>
    <t>Family Welfare Program</t>
  </si>
  <si>
    <t>Sustainable Livelihood Program</t>
  </si>
  <si>
    <t>Mass Wedding</t>
  </si>
  <si>
    <t>Out of School Youth Welfare Program</t>
  </si>
  <si>
    <t>Support to Senior Citizen Welfare Program</t>
  </si>
  <si>
    <t>Solo Parent Program</t>
  </si>
  <si>
    <t>Sports Develoment Program</t>
  </si>
  <si>
    <t>Moral Recovery Program</t>
  </si>
  <si>
    <t>Support to PWDs Program</t>
  </si>
  <si>
    <t>Repair &amp; Maintenance-Motor Vehicle</t>
  </si>
  <si>
    <t>LCPC Program &amp; Activities :</t>
  </si>
  <si>
    <t>Womens, Youth and Child Friendly Home Operation</t>
  </si>
  <si>
    <t>Strengthen/Massive IEC &amp; Advocacy on RA 9003</t>
  </si>
  <si>
    <t>Environmental Protection &amp; Management Program</t>
  </si>
  <si>
    <t>Reproductive Health &amp; Family Planning Program</t>
  </si>
  <si>
    <t>GAD Advocacy</t>
  </si>
  <si>
    <t>Maternal and Child Care</t>
  </si>
  <si>
    <t>Individual Development Program</t>
  </si>
  <si>
    <t>Strenghtening the Peace and Order Organizational and Local Special Bodies on Crime Prevention &amp; Law Enforcement</t>
  </si>
  <si>
    <t>Support to MPOC/MADAC Secretariat</t>
  </si>
  <si>
    <t>Conduct of POPS Assessment Workshop</t>
  </si>
  <si>
    <t>Strengthen Local Anti-drug Abuse Council (MADAC and BADACs Team)</t>
  </si>
  <si>
    <t>Operationalization of PLEB</t>
  </si>
  <si>
    <t xml:space="preserve">Campaign Against Illegeal Drugs and Strengthening </t>
  </si>
  <si>
    <t>Institutionalization of the Community Based Rehabilitation Program</t>
  </si>
  <si>
    <t>Conduct of Symposia, seminar, meeting and dialogues regarding</t>
  </si>
  <si>
    <t xml:space="preserve">    the effects of illegal drug and other crime prevention campaign</t>
  </si>
  <si>
    <t>Dare Program and Barkada Kontra Druga Program</t>
  </si>
  <si>
    <t>Conduct Barangay Drug Clearing Operations</t>
  </si>
  <si>
    <t>Conduct of Monitoring and Survielance/Apprehension on Illegal Logging Activities</t>
  </si>
  <si>
    <t>Campaign/Advocay on Illegal Logging</t>
  </si>
  <si>
    <t>Delivery Basic Services to Conflict Affected Barangays and Neutralization of Insurgency</t>
  </si>
  <si>
    <t>Conduct Brgy. Visitation and Diaglogue to Conflict Affected Areas</t>
  </si>
  <si>
    <t xml:space="preserve">       Detachment Installed and manned by AFP/CAFGU</t>
  </si>
  <si>
    <t>Strengthening of Brgy. Intelligence Network(BINs)</t>
  </si>
  <si>
    <t>Institutionalization of Community Support Progam</t>
  </si>
  <si>
    <t xml:space="preserve">    Cases on Illegal Gambling Activities</t>
  </si>
  <si>
    <t>Establishment of Barangay Intelligence Network (BINs)</t>
  </si>
  <si>
    <t>Establishment of Crime Drug Watch</t>
  </si>
  <si>
    <t>Purchase of 1 Units Motor Vehicles with Side Car and Accessories</t>
  </si>
  <si>
    <t xml:space="preserve">       for Urbanizing Barangays</t>
  </si>
  <si>
    <t>Construction of Police Outposts with Facilities</t>
  </si>
  <si>
    <t>Purchase of One (1) Unit Police Patrol Car</t>
  </si>
  <si>
    <t>Purchase of Communication Equipment</t>
  </si>
  <si>
    <t>Construction and Installation of Street Lights</t>
  </si>
  <si>
    <t>Installation of CCTV</t>
  </si>
  <si>
    <t>Orientation and Skills Training of Barangay Tanods</t>
  </si>
  <si>
    <t>a) Sitio Singapore, Brgy. Sta. Maria</t>
  </si>
  <si>
    <t xml:space="preserve">    - Conduct PARA-legal Training on Forestry Laws, Rules and Regulation</t>
  </si>
  <si>
    <t xml:space="preserve">    - Campaign/Advocacy on Illegal Logging</t>
  </si>
  <si>
    <t xml:space="preserve">    - Capacity Building of the Deputized Bantay Gubat/Kalikasan</t>
  </si>
  <si>
    <t xml:space="preserve">    - Conduct of Inventory to all Illegal Mining Operaion (Gold and Coal)</t>
  </si>
  <si>
    <t xml:space="preserve">    - Conduct General Orientation Responsible Small-Scale Mining Act</t>
  </si>
  <si>
    <t>Repair and Maintenance - Motor Vehicle</t>
  </si>
  <si>
    <t>Subcriptions Expenses</t>
  </si>
  <si>
    <t>Repair &amp; Maintenance - Children Park &amp; Plaza</t>
  </si>
  <si>
    <t>Advertising Expenses (on Air)</t>
  </si>
  <si>
    <t>Comprehensive Development Plan (CDP)</t>
  </si>
  <si>
    <t>Comprehensive Land Used Plan (CLUP)</t>
  </si>
  <si>
    <t>Barangay Development Plan (BDP)</t>
  </si>
  <si>
    <t>Santikan Festival</t>
  </si>
  <si>
    <t>Dagayani Festival</t>
  </si>
  <si>
    <t xml:space="preserve">Support to Senior Citizen </t>
  </si>
  <si>
    <t>Support to  PWD</t>
  </si>
  <si>
    <t>Support to Construction of TNHS Stage</t>
  </si>
  <si>
    <t>Civil Service Month Celebration</t>
  </si>
  <si>
    <t>Assistance to Individuals in Crisis Situation</t>
  </si>
  <si>
    <t>Loan Amortization - NHA</t>
  </si>
  <si>
    <t>Support to Children in Conflict with the Law</t>
  </si>
  <si>
    <t>Installation of Water System</t>
  </si>
  <si>
    <t>Provision of Support to Civilian Auxilliary Army group</t>
  </si>
  <si>
    <t>Womens participation in Government Activities</t>
  </si>
  <si>
    <t>Campaign/Advocay on Illegal Mining Operation</t>
  </si>
  <si>
    <t>Child Development Center Perimeter Fence</t>
  </si>
  <si>
    <t>Assistance Barangay Agriculture Workers (Honorarium)</t>
  </si>
  <si>
    <t>Permit &amp; Clearance from National Agencies</t>
  </si>
  <si>
    <t>Repair and Maintenance - Motor Vehicles</t>
  </si>
  <si>
    <t xml:space="preserve">Repairs and Maintencance - Market </t>
  </si>
  <si>
    <t>Repair and maintenance - Other Property, Plant &amp; Equipment</t>
  </si>
  <si>
    <t>Food Expenses ( Patient)</t>
  </si>
  <si>
    <t>Repairs &amp; Maintenance - Other Property, Plant &amp; Equip.</t>
  </si>
  <si>
    <t xml:space="preserve">Maintenance of Government Building &amp; Facilities </t>
  </si>
  <si>
    <t>Repair &amp; Maintenance - Other Property, Plants &amp; Equipment</t>
  </si>
  <si>
    <t>Postage &amp; Courier Services</t>
  </si>
  <si>
    <t>Permits &amp; Clearances Expenses</t>
  </si>
  <si>
    <t>Repair &amp; Maintenance - Other Property, Plant &amp; Equipment</t>
  </si>
  <si>
    <t>Repair &amp; Maintenance Other Property, Plant &amp; Equipment</t>
  </si>
  <si>
    <t xml:space="preserve">         the Community Based Rehabilitation Program</t>
  </si>
  <si>
    <t xml:space="preserve">3) Installation of Street Lights </t>
  </si>
  <si>
    <t>1. Conduct Training, Seminar, Drill &amp; Simulation</t>
  </si>
  <si>
    <t>2. Purchase of Rescue Supplies</t>
  </si>
  <si>
    <t>4. Purchase of Rescue Vehicle</t>
  </si>
  <si>
    <t>1. Support to Ecological Solid Waste Mgt.</t>
  </si>
  <si>
    <t>2. Risk Transfer</t>
  </si>
  <si>
    <t>3. Support to Organic Farming</t>
  </si>
  <si>
    <t>2. Rehabilitation of Damaged Government Infrastructure &amp; Building</t>
  </si>
  <si>
    <t xml:space="preserve">      b.) Heavy Equipment</t>
  </si>
  <si>
    <t>Repair and Maintenance - Other Property, Plant &amp; Equipment</t>
  </si>
  <si>
    <t xml:space="preserve"> PREPAREDNESS</t>
  </si>
  <si>
    <t>PREVENTION &amp; MITIGATION</t>
  </si>
  <si>
    <t>REHABILITATION AND RECOVERY</t>
  </si>
  <si>
    <t xml:space="preserve">          - Construction of Vermi House</t>
  </si>
  <si>
    <t>b) Sitio San Marcus, Brgy. Salvacion</t>
  </si>
  <si>
    <t>Repairs &amp; Maintenance - Other Property, Plants &amp; Equipment</t>
  </si>
  <si>
    <t>Total Continuing Appropriation</t>
  </si>
  <si>
    <t>5% DISASTER RISK REDUCTION &amp; MNGT. FUND</t>
  </si>
  <si>
    <t xml:space="preserve">  Municipal Mayor</t>
  </si>
  <si>
    <t>Security, Janitorial  &amp; Other Mgt. Support Services</t>
  </si>
  <si>
    <t xml:space="preserve">  Municipal Health Officer</t>
  </si>
  <si>
    <t>ALFRED A. GIMANG</t>
  </si>
  <si>
    <t>Municipal Agriculturist</t>
  </si>
  <si>
    <t xml:space="preserve">      FELIMON S. MARTE</t>
  </si>
  <si>
    <t>FELIMON S. MARTE</t>
  </si>
  <si>
    <t>Secretary to the Sanggunian I</t>
  </si>
  <si>
    <t xml:space="preserve">    JULIUS S. CAHILGAN</t>
  </si>
  <si>
    <t>Repair &amp; Maintenance - Motor Vehicle</t>
  </si>
  <si>
    <t xml:space="preserve">    - Campaign/Advocacy on Illegal Logging cum Para Legal Training</t>
  </si>
  <si>
    <t>Construction of Manpower Training Center for PWUDs</t>
  </si>
  <si>
    <t>Provision of Support to Brgy. Tanods</t>
  </si>
  <si>
    <t>Capability Building on Illegal RA 10022 (Anti Illegal Recruitment)</t>
  </si>
  <si>
    <t>Women Welfare Program</t>
  </si>
  <si>
    <t>Pantawid Pamilyang Program, MCCTP-IP and Sustainable Livelihood Program</t>
  </si>
  <si>
    <t>Right of the Child Advocacy</t>
  </si>
  <si>
    <t>Capacity Enhancement Related Program</t>
  </si>
  <si>
    <t>Youth Welfare Program</t>
  </si>
  <si>
    <t>Support To Child Development Workers</t>
  </si>
  <si>
    <t>Support to Census of Population and Household</t>
  </si>
  <si>
    <t>4. Program, Planning, Monitoring and Evaluation</t>
  </si>
  <si>
    <t xml:space="preserve">         - Updating Monitoring and Evaluation of LDRRRM Plans</t>
  </si>
  <si>
    <t>CELINE PAULA G. CALVEZ</t>
  </si>
  <si>
    <t>Purchase of 6 Units Motor Vehicle for Urbanizing Baragays</t>
  </si>
  <si>
    <t>Loan Amortization- Mun. Building</t>
  </si>
  <si>
    <t>Loan Amortization- Legislative Building</t>
  </si>
  <si>
    <t>Documentary Stamp Tax Expenses</t>
  </si>
  <si>
    <t>Conduct  of Monitoring and Surveillance on Illegal drugs Operation</t>
  </si>
  <si>
    <t>5. Resettlement of Internally Displaced Families (From Hazard Prone Areas)</t>
  </si>
  <si>
    <r>
      <t xml:space="preserve">Office: </t>
    </r>
    <r>
      <rPr>
        <b/>
        <u val="single"/>
        <sz val="12"/>
        <color indexed="8"/>
        <rFont val="Cambria"/>
        <family val="1"/>
      </rPr>
      <t>Mayors Office</t>
    </r>
  </si>
  <si>
    <r>
      <t xml:space="preserve">Office:  </t>
    </r>
    <r>
      <rPr>
        <b/>
        <u val="single"/>
        <sz val="12"/>
        <color indexed="8"/>
        <rFont val="Cambria"/>
        <family val="1"/>
      </rPr>
      <t>Office of the Municipal Vice Mayor</t>
    </r>
  </si>
  <si>
    <r>
      <t xml:space="preserve">Office:  </t>
    </r>
    <r>
      <rPr>
        <b/>
        <u val="single"/>
        <sz val="12"/>
        <color indexed="8"/>
        <rFont val="Cambria"/>
        <family val="1"/>
      </rPr>
      <t>Sangguniang Bayan Members</t>
    </r>
  </si>
  <si>
    <r>
      <t>Office:</t>
    </r>
    <r>
      <rPr>
        <b/>
        <u val="single"/>
        <sz val="12"/>
        <color indexed="8"/>
        <rFont val="Cambria"/>
        <family val="1"/>
      </rPr>
      <t xml:space="preserve"> Office of the Secretary to the  Sanggunian</t>
    </r>
  </si>
  <si>
    <r>
      <t xml:space="preserve">Office: </t>
    </r>
    <r>
      <rPr>
        <b/>
        <u val="single"/>
        <sz val="12"/>
        <color indexed="8"/>
        <rFont val="Cambria"/>
        <family val="1"/>
      </rPr>
      <t>Administrative Office</t>
    </r>
  </si>
  <si>
    <r>
      <t xml:space="preserve">Office: </t>
    </r>
    <r>
      <rPr>
        <b/>
        <u val="single"/>
        <sz val="12"/>
        <color indexed="8"/>
        <rFont val="Cambria"/>
        <family val="1"/>
      </rPr>
      <t>MPDO</t>
    </r>
  </si>
  <si>
    <r>
      <t>Office:</t>
    </r>
    <r>
      <rPr>
        <b/>
        <u val="single"/>
        <sz val="12"/>
        <color indexed="8"/>
        <rFont val="Cambria"/>
        <family val="1"/>
      </rPr>
      <t xml:space="preserve"> Local Civil Registrar </t>
    </r>
  </si>
  <si>
    <r>
      <t>Office:</t>
    </r>
    <r>
      <rPr>
        <b/>
        <u val="single"/>
        <sz val="12"/>
        <color indexed="8"/>
        <rFont val="Cambria"/>
        <family val="1"/>
      </rPr>
      <t xml:space="preserve"> Budget Office </t>
    </r>
  </si>
  <si>
    <r>
      <t>Office:</t>
    </r>
    <r>
      <rPr>
        <b/>
        <u val="single"/>
        <sz val="12"/>
        <color indexed="8"/>
        <rFont val="Cambria"/>
        <family val="1"/>
      </rPr>
      <t xml:space="preserve"> Accounting Office </t>
    </r>
  </si>
  <si>
    <r>
      <t>Office:</t>
    </r>
    <r>
      <rPr>
        <b/>
        <u val="single"/>
        <sz val="12"/>
        <color indexed="8"/>
        <rFont val="Cambria"/>
        <family val="1"/>
      </rPr>
      <t xml:space="preserve"> Treasury Office  </t>
    </r>
  </si>
  <si>
    <r>
      <t>Office:</t>
    </r>
    <r>
      <rPr>
        <b/>
        <u val="single"/>
        <sz val="12"/>
        <color indexed="8"/>
        <rFont val="Cambria"/>
        <family val="1"/>
      </rPr>
      <t xml:space="preserve"> Assessor's Office  </t>
    </r>
  </si>
  <si>
    <r>
      <t>Office:</t>
    </r>
    <r>
      <rPr>
        <b/>
        <u val="single"/>
        <sz val="12"/>
        <color indexed="8"/>
        <rFont val="Cambria"/>
        <family val="1"/>
      </rPr>
      <t xml:space="preserve"> Engineering Office</t>
    </r>
  </si>
  <si>
    <r>
      <t>Office:</t>
    </r>
    <r>
      <rPr>
        <b/>
        <u val="single"/>
        <sz val="12"/>
        <color indexed="8"/>
        <rFont val="Cambria"/>
        <family val="1"/>
      </rPr>
      <t xml:space="preserve"> Health Office</t>
    </r>
  </si>
  <si>
    <r>
      <t>Office:</t>
    </r>
    <r>
      <rPr>
        <b/>
        <u val="single"/>
        <sz val="12"/>
        <color indexed="8"/>
        <rFont val="Cambria"/>
        <family val="1"/>
      </rPr>
      <t xml:space="preserve"> Agriculture Office  </t>
    </r>
  </si>
  <si>
    <r>
      <t>Office:</t>
    </r>
    <r>
      <rPr>
        <b/>
        <u val="single"/>
        <sz val="12"/>
        <color indexed="8"/>
        <rFont val="Cambria"/>
        <family val="1"/>
      </rPr>
      <t xml:space="preserve"> MSWD Office </t>
    </r>
  </si>
  <si>
    <r>
      <t>Office:</t>
    </r>
    <r>
      <rPr>
        <b/>
        <u val="single"/>
        <sz val="12"/>
        <color indexed="8"/>
        <rFont val="Cambria"/>
        <family val="1"/>
      </rPr>
      <t xml:space="preserve">  MENRO  </t>
    </r>
  </si>
  <si>
    <r>
      <t xml:space="preserve">         </t>
    </r>
    <r>
      <rPr>
        <b/>
        <sz val="12"/>
        <color indexed="8"/>
        <rFont val="Cambria"/>
        <family val="1"/>
      </rPr>
      <t>the Community Based Rehabilitation Program</t>
    </r>
  </si>
  <si>
    <t>Fuel, Oil &amp; Lubricants Expenses</t>
  </si>
  <si>
    <t>Maintenance of Street lighting Facilities</t>
  </si>
  <si>
    <t>3. Flood and Landslide Control System</t>
  </si>
  <si>
    <t>Clothing/Uniform Allowance</t>
  </si>
  <si>
    <t>Retirement and Life Insurance Premiums</t>
  </si>
  <si>
    <t>Other Supplies &amp; Materials Expenses</t>
  </si>
  <si>
    <t>Retirement and Life Inurance Premiums</t>
  </si>
  <si>
    <t xml:space="preserve">         of RCPC Drainage within R.M Billanes Gym Evacuation Center</t>
  </si>
  <si>
    <t xml:space="preserve">             Elpidio Quirino St.</t>
  </si>
  <si>
    <t>Other Suplies and Materials Expenses</t>
  </si>
  <si>
    <t>Subscription Expenses</t>
  </si>
  <si>
    <t>4) Construction of Block Tiendas/Stall Building</t>
  </si>
  <si>
    <t xml:space="preserve">       Veterinary Office as Equity of the LGU)</t>
  </si>
  <si>
    <t>Other Supplies and Materials Expenses</t>
  </si>
  <si>
    <t xml:space="preserve"> Other General Services</t>
  </si>
  <si>
    <t>Other Supplies &amp; Material Expenses</t>
  </si>
  <si>
    <t>EDCIL MARIE P. DAGSAN</t>
  </si>
  <si>
    <t>2019</t>
  </si>
  <si>
    <t>Current Year 2020 (Estimate)</t>
  </si>
  <si>
    <t xml:space="preserve">      Personal Services</t>
  </si>
  <si>
    <t>CHRISTINE JOY C. MACALAGAY, MD</t>
  </si>
  <si>
    <t>Repair and Maintenance - Other Structure (Government Facilities)</t>
  </si>
  <si>
    <t>Lot Acquisition of Trento Multi-purpose Transportation Terminal</t>
  </si>
  <si>
    <t>Newborn Screening Program</t>
  </si>
  <si>
    <t>Maternal and Child Health Program</t>
  </si>
  <si>
    <t xml:space="preserve">         - Purchase of Garbage Collector Truck</t>
  </si>
  <si>
    <t>1. Provision of Rehabilitation on Seeds to Disaster Affected Farmers</t>
  </si>
  <si>
    <t>Capability Building Program</t>
  </si>
  <si>
    <t xml:space="preserve">Adolescent Health Development(AHD) </t>
  </si>
  <si>
    <t>Installation of Database System</t>
  </si>
  <si>
    <t>Sustainable Organic Agri. Program (RA 10068)</t>
  </si>
  <si>
    <t>Senior Citizen Welfare Program</t>
  </si>
  <si>
    <t>Conduct of Municipal Convergence Advisory Committee Monthly Meeting</t>
  </si>
  <si>
    <t xml:space="preserve">            Trento Resetllement Project 2</t>
  </si>
  <si>
    <t>3. Supplies and Materials</t>
  </si>
  <si>
    <t xml:space="preserve">Establishment of Integrated Territorial Defense System (ITDS) </t>
  </si>
  <si>
    <t xml:space="preserve">      with Detachment Installed at Brgy. Pangyan</t>
  </si>
  <si>
    <t xml:space="preserve">Conduct of Symposia of Pulong Pulong and Seminar on Insurgency </t>
  </si>
  <si>
    <t xml:space="preserve">       Related Information</t>
  </si>
  <si>
    <t>TARGET RECEIPT</t>
  </si>
  <si>
    <t>Repair &amp; Maintenance- IT Equipment</t>
  </si>
  <si>
    <t>Support to Street children and Families</t>
  </si>
  <si>
    <t>GPB - GAD Planning &amp; Budgeting</t>
  </si>
  <si>
    <t>kamagong ST.</t>
  </si>
  <si>
    <t>22-23</t>
  </si>
  <si>
    <t>40</t>
  </si>
  <si>
    <t>15-</t>
  </si>
  <si>
    <t>50</t>
  </si>
  <si>
    <t>8-9-10-11-12-13-</t>
  </si>
  <si>
    <t>52</t>
  </si>
  <si>
    <t>51</t>
  </si>
  <si>
    <t>2-</t>
  </si>
  <si>
    <t>17-38-39</t>
  </si>
  <si>
    <t>14-21</t>
  </si>
  <si>
    <t>16</t>
  </si>
  <si>
    <t>6-7-</t>
  </si>
  <si>
    <t>24</t>
  </si>
  <si>
    <t>31-32-33</t>
  </si>
  <si>
    <t>34</t>
  </si>
  <si>
    <t>35-36</t>
  </si>
  <si>
    <t>55</t>
  </si>
  <si>
    <t>56</t>
  </si>
  <si>
    <t>57</t>
  </si>
  <si>
    <t>1-</t>
  </si>
  <si>
    <t>18</t>
  </si>
  <si>
    <t>19-20-</t>
  </si>
  <si>
    <t>42-43-47-58</t>
  </si>
  <si>
    <t>25-26</t>
  </si>
  <si>
    <t>28-29-30-44-45</t>
  </si>
  <si>
    <t>41-46</t>
  </si>
  <si>
    <t>48</t>
  </si>
  <si>
    <t>49</t>
  </si>
  <si>
    <t>53</t>
  </si>
  <si>
    <t>27</t>
  </si>
  <si>
    <t>37</t>
  </si>
  <si>
    <t>54</t>
  </si>
  <si>
    <t>59</t>
  </si>
  <si>
    <t>Training Center Equipment and Facilities</t>
  </si>
  <si>
    <t>5</t>
  </si>
  <si>
    <t>3-4</t>
  </si>
  <si>
    <t>Sub Total of Mayors Appropriation</t>
  </si>
  <si>
    <t>SPECIAL PROJECT/ACTIVITY</t>
  </si>
  <si>
    <t>TOTAL MAYOR'S APPROPRIATIONS</t>
  </si>
  <si>
    <t>Surveying of Government Owned Lots</t>
  </si>
  <si>
    <t xml:space="preserve">              b) Concreting of Ramon Magsaysay St. (Phase 4)</t>
  </si>
  <si>
    <t xml:space="preserve">              a) Construction of Box Culvert at Andres Bonifacio St.</t>
  </si>
  <si>
    <t xml:space="preserve">           (Completion) PCCP and RCPC</t>
  </si>
  <si>
    <t>Crime and Disorder</t>
  </si>
  <si>
    <t>Conduct Checkpoint and Chokepoint Operation</t>
  </si>
  <si>
    <t>Support to Barangay Tanods</t>
  </si>
  <si>
    <t>Police  Visibility/Oplan Kapkap/Sita/Bakal</t>
  </si>
  <si>
    <t>Enhance Community Organizing, Conduct Force Multiplier Training &amp; Establishment of BINs</t>
  </si>
  <si>
    <t>Installation of Streetlights</t>
  </si>
  <si>
    <t>Application of Search Warrant/Filing of Appropriate cases</t>
  </si>
  <si>
    <t>Conduct information on Environmental Laws, Advocacy campaign on illegal logging and Para legal training</t>
  </si>
  <si>
    <t>Conduct Orientation on Responsible Small Scale Mining</t>
  </si>
  <si>
    <t>Illegal Drugs (mandatory per RA 9165, NADPA, DILG MCs)</t>
  </si>
  <si>
    <t>Conduct Drug Symposia, meeting and Dialogue on Illegal Drugs at the Barangays and Schools</t>
  </si>
  <si>
    <t>Purchased of One (1) unit Patrol Car</t>
  </si>
  <si>
    <t>Conduct Buy-bust Operation/ Monitoring and Surveillance on illegal drug operation</t>
  </si>
  <si>
    <t>DARE Program &amp; BARKADA KONTRA DRUGA Program</t>
  </si>
  <si>
    <t>Workshop on the Formulation of Community-Based Rehabilitation Program (CBRP) Preparation</t>
  </si>
  <si>
    <t>Conduct Assessment on the Functionality of MADAC and BADAC</t>
  </si>
  <si>
    <t>Conflict</t>
  </si>
  <si>
    <t xml:space="preserve">Conduct Military Operation Activities/ Security &amp; combat operations
       </t>
  </si>
  <si>
    <t xml:space="preserve">Conduct CAFGU operations and related activities </t>
  </si>
  <si>
    <t>Purchase of Six (units) motorcycles for "hot spots" Barangays Mobilization</t>
  </si>
  <si>
    <t>Strengthening of BINs</t>
  </si>
  <si>
    <t>Empowering Indigenous Peoples (IP) &amp; Creation of Municipal and Barangay Task Force to end  Insurgency</t>
  </si>
  <si>
    <t>Conduct Youth Peace camp (YFPS) &amp; school based symposium</t>
  </si>
  <si>
    <t>Conduct Stakeholder/Sectoral engagements and other related activities (Brgy. Visitation and dialogue)</t>
  </si>
  <si>
    <t>Improvement of Existing camp facilities</t>
  </si>
  <si>
    <t>Strengthen Advocacy on Agrarian Reform program</t>
  </si>
  <si>
    <t>Operationalization of MPOC</t>
  </si>
  <si>
    <t>Support to Secretariat services to MPOC</t>
  </si>
  <si>
    <t>Conduct of MPOC regular and special meetings</t>
  </si>
  <si>
    <t>Training and Seminar workshop on Maintenance of  Peace and Order</t>
  </si>
  <si>
    <t>Strengthening of POC Functionality and Annual Audit</t>
  </si>
  <si>
    <t>Capacity Enhancement of BBIs on Brgy. Peace and Order Monitoring</t>
  </si>
  <si>
    <t>Support to Katarungang Pambarangay (KP)</t>
  </si>
  <si>
    <t>Support to PLEB</t>
  </si>
  <si>
    <t>Purchase of Two (Units) Monitoring and Surveillance Vehicle</t>
  </si>
  <si>
    <t>Implementation of EO 70 and ELCAC-MTF</t>
  </si>
  <si>
    <t>Road &amp; Vehicle Safety</t>
  </si>
  <si>
    <t>Printing and installation of traffic lights and signages</t>
  </si>
  <si>
    <t>Conduct symposium on traffic management</t>
  </si>
  <si>
    <t>Issuance of Citation Ticket to caught violators</t>
  </si>
  <si>
    <t>Fire Safety</t>
  </si>
  <si>
    <t xml:space="preserve">Conduct Oplan Ligtas na Pamayanan in all barangays in the Municipality. </t>
  </si>
  <si>
    <t xml:space="preserve">     House to house Fire Safety Campaign and organized Brgy. Pink Brigade</t>
  </si>
  <si>
    <t xml:space="preserve">Conduct thorough inspection on Small and Medium Establishment, </t>
  </si>
  <si>
    <t xml:space="preserve">     new or renewal businesses.</t>
  </si>
  <si>
    <t>Total Special Project/Activity</t>
  </si>
  <si>
    <t>SUB TOTAL MPDS APPROPRIATIONS</t>
  </si>
  <si>
    <t>SUB TOTAL HEALTH APPROPRIATIONS</t>
  </si>
  <si>
    <t>SUB TOTAL AGRICULTURE APPROPRIATION</t>
  </si>
  <si>
    <t>SUB TOTAL MSWD APPROPRIATIONS</t>
  </si>
  <si>
    <t>Procurement of Medicine and Vitamins (Bayanihan Grant)</t>
  </si>
  <si>
    <t>Food Assistance and Other Relief Goods for Affected Household (Bayanihan Grant)</t>
  </si>
  <si>
    <t>Food Assistance amd Other Relief Goods for Affected Household</t>
  </si>
  <si>
    <t>Cash Assistance to Informl Sector Affected by Covid 19</t>
  </si>
  <si>
    <t xml:space="preserve">            Scanner, Stock Piling (Food &amp; Non Food Items) in Support to Covid 19   </t>
  </si>
  <si>
    <t>IP CDD KALAHI</t>
  </si>
  <si>
    <t>BRYLLE P. DATOY, CPA</t>
  </si>
  <si>
    <t>PDO III/OIC-MUN. ENGINEER</t>
  </si>
  <si>
    <t xml:space="preserve"> EDGAR D. DEMEGILLO, CE</t>
  </si>
  <si>
    <t xml:space="preserve">Counterpart to IP-CDD </t>
  </si>
  <si>
    <t>Other Maintenance &amp; Operating Expenses</t>
  </si>
  <si>
    <t>Repair &amp; Maintenance - IT Equipment</t>
  </si>
  <si>
    <t>2) Construction of Solar Dryer  at</t>
  </si>
  <si>
    <t>4) Improvement of Drainage System/ Installation of RCPC with PCCP @ Rural Health Unit Center</t>
  </si>
  <si>
    <t>5) Construction of RHU Facilities/Construction of Comfort Room @ RHU</t>
  </si>
  <si>
    <t>6) Purchase of One (1) Ambulance</t>
  </si>
  <si>
    <t xml:space="preserve">      d) Watersystem, Public Market &amp; Heavy Equipment</t>
  </si>
  <si>
    <t xml:space="preserve">              c) Concreting of Dalhia Street Phase 4</t>
  </si>
  <si>
    <t xml:space="preserve">   d) Concreting of Dagohoy St. Extension</t>
  </si>
  <si>
    <t xml:space="preserve">              e) Installation of RCPC with with PCCP at Elpidio E. Quirino St.</t>
  </si>
  <si>
    <t xml:space="preserve">              f) Installation of RCPC with PCCP at Ramon Magsaysay St. </t>
  </si>
  <si>
    <t xml:space="preserve">              g) Installation of RCPC with PCCP at Antonio Luna St.</t>
  </si>
  <si>
    <t xml:space="preserve">               h) Improvement of J.P Rizal st. from cor. Antonio Luna St. to </t>
  </si>
  <si>
    <t xml:space="preserve">               i) Concreting at Andres Bonifacio St. (Phase III)</t>
  </si>
  <si>
    <t xml:space="preserve">               j) Installation of RCPC with PCCP at Sergio Osmenia St.</t>
  </si>
  <si>
    <t xml:space="preserve">               k) Installation of RCPC with PCCP at J.P Rizal St.</t>
  </si>
  <si>
    <t xml:space="preserve">              m) Installation of RCPC with PCCP @ Elpidio Quirino St. (completion)</t>
  </si>
  <si>
    <t xml:space="preserve">               l) Concreting of Mabini St. from cor Dagohoy St.</t>
  </si>
  <si>
    <t xml:space="preserve">              n) Construction of PCCP Widening @ Ramon Magsaysay St.</t>
  </si>
  <si>
    <t xml:space="preserve">              o) Concreting of Osmena St. -Junction of Apitong St.</t>
  </si>
  <si>
    <t xml:space="preserve">              p) Conreting of Mabini St. from Suarez St. (Completion)</t>
  </si>
  <si>
    <t xml:space="preserve">              q) Improvement/Upgrading of Access Road and Installation </t>
  </si>
  <si>
    <t xml:space="preserve">              r) Installation of RCPC Drainage and Slope Protection At Purok 7 Isla Verde</t>
  </si>
  <si>
    <t xml:space="preserve">              s) Widening of PCCP @ Ramon Magsaysay St. (Completion)</t>
  </si>
  <si>
    <t xml:space="preserve">              t) Installation of RCPC with PCCP @ Camagong St. Phase 2</t>
  </si>
  <si>
    <t>5) Solid Waste Management Project - MRF Building</t>
  </si>
  <si>
    <t>6) Completion of Facilities of RM. Billanes Gym Evacuation Center</t>
  </si>
  <si>
    <t>7) Construction of Manpower training Center</t>
  </si>
  <si>
    <t>8) Supply/Delivery of Brand New Ten Wheeler Truck</t>
  </si>
  <si>
    <t>9) Supply/Delivery of Brand New Vibrator Compactor</t>
  </si>
  <si>
    <t>10) Installation of RCPC at Camagong St</t>
  </si>
  <si>
    <t>11) I-LEAD/Barangay Development Program</t>
  </si>
  <si>
    <t>12) Concreting of Access road with installation of RCPC, going to</t>
  </si>
  <si>
    <t>14) Procurement of Personal Protective Equipment</t>
  </si>
  <si>
    <t>15) Expenses for the Operation of Stand-alone/mobile testing laboratory</t>
  </si>
  <si>
    <t>16) Procurement of Hospital Equipment &amp; Supplies</t>
  </si>
  <si>
    <t>1) Support to Agri-Eco-Tourism Development Program (Stock Farm at Cebolin)</t>
  </si>
  <si>
    <t>5. Installation of Permanent Early Warning System/Devices</t>
  </si>
  <si>
    <t>6. Evacuation Center Development/Enhancement</t>
  </si>
  <si>
    <t>7. Stock Piling of Goods &amp; Non-Foods Items</t>
  </si>
  <si>
    <t>8. Capability Building</t>
  </si>
  <si>
    <t>9. Medical Supplies</t>
  </si>
  <si>
    <t>10. Disaster Response and Rescue Equipments/Facilities</t>
  </si>
  <si>
    <t>11. Repair and Maintenance of Facilities/Equipment</t>
  </si>
  <si>
    <t>12. Fuel and Oil</t>
  </si>
  <si>
    <t>13. Activation of MDRRMC/ICS</t>
  </si>
  <si>
    <t>14. Deployment of RDANA/PDRA Core Teams/SAR Teams</t>
  </si>
  <si>
    <t>15. Purchase of Medical Supplies, Protective Gears, Thermal</t>
  </si>
  <si>
    <t>16. Support to CBMS</t>
  </si>
  <si>
    <t>Repair and Maintenance - Park &amp; Plaza</t>
  </si>
  <si>
    <t>Repair and Maintenance - IT Equipment</t>
  </si>
  <si>
    <t>TOTAL HEALTH APPROPRIATIONS</t>
  </si>
  <si>
    <t>Publication Expenses</t>
  </si>
  <si>
    <t>LBF Form No. 2a</t>
  </si>
  <si>
    <t>Total Special Purpose Appropriations</t>
  </si>
  <si>
    <t xml:space="preserve">    - Conduct Orientation Seminar to Barangay Officials and Stakeholders </t>
  </si>
  <si>
    <t xml:space="preserve">                with Mineral Deposits</t>
  </si>
  <si>
    <t>JANE B. LARIOSA</t>
  </si>
  <si>
    <t>AO II/OIC MBO</t>
  </si>
  <si>
    <t>AO II/OIC-MBO</t>
  </si>
  <si>
    <t xml:space="preserve">         a) Construction of Box Culvert at Andres Bonifacio St.</t>
  </si>
  <si>
    <t xml:space="preserve">           b) Concreting of Ramon Magsaysay St. (Phase 4)</t>
  </si>
  <si>
    <t xml:space="preserve">           c) Concreting of Dalhia Street Phase 4</t>
  </si>
  <si>
    <t xml:space="preserve">        d) Concreting of Dagohoy St. Extension</t>
  </si>
  <si>
    <t xml:space="preserve">        g) Installation of RCPC with PCCP at Antonio Luna St.</t>
  </si>
  <si>
    <t xml:space="preserve">        h) Improvement of J.P Rizal st. from cor. Antonio Luna St. to </t>
  </si>
  <si>
    <t xml:space="preserve">         i) Concreting at Andres Bonifacio St. (Phase III)</t>
  </si>
  <si>
    <t xml:space="preserve">         j) Installation of RCPC with PCCP at Sergio Osmenia St.</t>
  </si>
  <si>
    <t xml:space="preserve">        k) Installation of RCPC with PCCP at J.P Rizal St.</t>
  </si>
  <si>
    <t xml:space="preserve">        l) Concreting of Mabini St. from cor Dagohoy St.</t>
  </si>
  <si>
    <t xml:space="preserve">      m) Installation of RCPC with PCCP @ Elpidio Quirino St. (completion)</t>
  </si>
  <si>
    <t xml:space="preserve">       n) Construction of PCCP Widening @ Ramon Magsaysay St.</t>
  </si>
  <si>
    <t xml:space="preserve">       o) Concreting of Osmena St. -Junction of Apitong St.</t>
  </si>
  <si>
    <t xml:space="preserve">       p) Conreting of Mabini St. from Suarez St. (Completion)</t>
  </si>
  <si>
    <t xml:space="preserve">       q) Improvement/Upgrading of Access Road and Installation </t>
  </si>
  <si>
    <t xml:space="preserve">       r) Installation of RCPC Drainage and Slope Protection At Purok 7 Isla Verde</t>
  </si>
  <si>
    <t xml:space="preserve">       s) Widening of PCCP @ Ramon Magsaysay St. (Completion)</t>
  </si>
  <si>
    <t xml:space="preserve">       t) Installation of RCPC with PCCP @ Camagong St. Phase 2</t>
  </si>
  <si>
    <t xml:space="preserve">           f) Installation of RCPC with PCCP at Ramon Magsaysay St. </t>
  </si>
  <si>
    <t xml:space="preserve">           e) Installation of RCPC with with PCCP at Elpidio E. Quirino St.</t>
  </si>
  <si>
    <t>TOTAL SPECIAL PROJECT/ACTIVITY</t>
  </si>
  <si>
    <t>20% LOCAL DEVELOPMENT FUND:</t>
  </si>
  <si>
    <t>13) Procurement of Sprayer for disinfection</t>
  </si>
</sst>
</file>

<file path=xl/styles.xml><?xml version="1.0" encoding="utf-8"?>
<styleSheet xmlns="http://schemas.openxmlformats.org/spreadsheetml/2006/main">
  <numFmts count="4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.0"/>
    <numFmt numFmtId="189" formatCode="0_);\(0\)"/>
    <numFmt numFmtId="190" formatCode="0.0_);\(0.0\)"/>
    <numFmt numFmtId="191" formatCode="_(* #,##0.000_);_(* \(#,##0.000\);_(* &quot;-&quot;??_);_(@_)"/>
    <numFmt numFmtId="192" formatCode="_(* #,##0.0000_);_(* \(#,##0.000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3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12"/>
      <name val="Arial"/>
      <family val="2"/>
    </font>
    <font>
      <sz val="9"/>
      <name val="Arial"/>
      <family val="2"/>
    </font>
    <font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5"/>
      <name val="Cambria"/>
      <family val="1"/>
    </font>
    <font>
      <b/>
      <sz val="16"/>
      <name val="Arial"/>
      <family val="2"/>
    </font>
    <font>
      <sz val="11"/>
      <name val="Cambria"/>
      <family val="1"/>
    </font>
    <font>
      <i/>
      <sz val="12"/>
      <name val="Cambria"/>
      <family val="1"/>
    </font>
    <font>
      <sz val="13.5"/>
      <name val="Cambria"/>
      <family val="1"/>
    </font>
    <font>
      <b/>
      <sz val="9"/>
      <name val="Cambria"/>
      <family val="1"/>
    </font>
    <font>
      <b/>
      <sz val="13.5"/>
      <name val="Cambria"/>
      <family val="1"/>
    </font>
    <font>
      <b/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1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8"/>
      <name val="Cambria"/>
      <family val="2"/>
    </font>
    <font>
      <sz val="16"/>
      <name val="Cambria"/>
      <family val="2"/>
    </font>
    <font>
      <i/>
      <sz val="9"/>
      <name val="Cambria"/>
      <family val="2"/>
    </font>
    <font>
      <sz val="15"/>
      <name val="Cambria"/>
      <family val="2"/>
    </font>
    <font>
      <b/>
      <sz val="16"/>
      <name val="Cambria"/>
      <family val="2"/>
    </font>
    <font>
      <sz val="18"/>
      <name val="Cambria"/>
      <family val="2"/>
    </font>
    <font>
      <i/>
      <sz val="10"/>
      <name val="Cambria"/>
      <family val="2"/>
    </font>
    <font>
      <i/>
      <sz val="14"/>
      <name val="Cambria"/>
      <family val="2"/>
    </font>
    <font>
      <i/>
      <sz val="13.5"/>
      <name val="Cambria"/>
      <family val="1"/>
    </font>
    <font>
      <i/>
      <sz val="16"/>
      <name val="Cambria"/>
      <family val="1"/>
    </font>
    <font>
      <b/>
      <i/>
      <sz val="13.5"/>
      <name val="Cambria"/>
      <family val="1"/>
    </font>
    <font>
      <sz val="12"/>
      <color indexed="8"/>
      <name val="Cambria"/>
      <family val="1"/>
    </font>
    <font>
      <sz val="7"/>
      <color indexed="8"/>
      <name val="Cambria"/>
      <family val="1"/>
    </font>
    <font>
      <sz val="8"/>
      <color indexed="8"/>
      <name val="Cambria"/>
      <family val="1"/>
    </font>
    <font>
      <sz val="9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7"/>
      <color indexed="8"/>
      <name val="Cambria"/>
      <family val="1"/>
    </font>
    <font>
      <b/>
      <sz val="9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i/>
      <sz val="12"/>
      <color indexed="8"/>
      <name val="Cambria"/>
      <family val="1"/>
    </font>
    <font>
      <i/>
      <sz val="10"/>
      <color indexed="8"/>
      <name val="Cambria"/>
      <family val="1"/>
    </font>
    <font>
      <b/>
      <sz val="12"/>
      <color indexed="8"/>
      <name val="Arial"/>
      <family val="2"/>
    </font>
    <font>
      <b/>
      <sz val="8"/>
      <name val="Cambria"/>
      <family val="2"/>
    </font>
    <font>
      <sz val="12"/>
      <color indexed="10"/>
      <name val="Cambria"/>
      <family val="1"/>
    </font>
    <font>
      <sz val="8"/>
      <color indexed="10"/>
      <name val="Cambria"/>
      <family val="1"/>
    </font>
    <font>
      <b/>
      <sz val="12"/>
      <color indexed="10"/>
      <name val="Cambria"/>
      <family val="1"/>
    </font>
    <font>
      <sz val="14"/>
      <name val="Calibri"/>
      <family val="2"/>
    </font>
    <font>
      <i/>
      <sz val="11"/>
      <color indexed="8"/>
      <name val="Cambria"/>
      <family val="1"/>
    </font>
    <font>
      <b/>
      <sz val="18"/>
      <name val="Cambria"/>
      <family val="2"/>
    </font>
    <font>
      <b/>
      <sz val="20"/>
      <name val="Cambria"/>
      <family val="2"/>
    </font>
    <font>
      <b/>
      <sz val="22"/>
      <name val="Cambria"/>
      <family val="2"/>
    </font>
    <font>
      <i/>
      <sz val="18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7"/>
      <color theme="1"/>
      <name val="Cambria"/>
      <family val="1"/>
    </font>
    <font>
      <sz val="8"/>
      <color theme="1"/>
      <name val="Cambria"/>
      <family val="1"/>
    </font>
    <font>
      <sz val="9"/>
      <color theme="1"/>
      <name val="Cambria"/>
      <family val="1"/>
    </font>
    <font>
      <sz val="11"/>
      <color theme="1"/>
      <name val="Cambria"/>
      <family val="1"/>
    </font>
    <font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7"/>
      <color theme="1"/>
      <name val="Cambria"/>
      <family val="1"/>
    </font>
    <font>
      <b/>
      <sz val="9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12"/>
      <color theme="1"/>
      <name val="Cambria"/>
      <family val="1"/>
    </font>
    <font>
      <i/>
      <sz val="10"/>
      <color theme="1"/>
      <name val="Cambria"/>
      <family val="1"/>
    </font>
    <font>
      <b/>
      <sz val="12"/>
      <color theme="1"/>
      <name val="Arial"/>
      <family val="2"/>
    </font>
    <font>
      <sz val="12"/>
      <color rgb="FFFF0000"/>
      <name val="Cambria"/>
      <family val="1"/>
    </font>
    <font>
      <sz val="8"/>
      <color rgb="FFFF0000"/>
      <name val="Cambria"/>
      <family val="1"/>
    </font>
    <font>
      <b/>
      <sz val="12"/>
      <color rgb="FFFF0000"/>
      <name val="Cambria"/>
      <family val="1"/>
    </font>
    <font>
      <i/>
      <sz val="11"/>
      <color theme="1"/>
      <name val="Cambria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1" applyNumberFormat="0" applyAlignment="0" applyProtection="0"/>
    <xf numFmtId="0" fontId="99" fillId="0" borderId="6" applyNumberFormat="0" applyFill="0" applyAlignment="0" applyProtection="0"/>
    <xf numFmtId="0" fontId="100" fillId="30" borderId="0" applyNumberFormat="0" applyBorder="0" applyAlignment="0" applyProtection="0"/>
    <xf numFmtId="0" fontId="86" fillId="0" borderId="0">
      <alignment/>
      <protection/>
    </xf>
    <xf numFmtId="0" fontId="0" fillId="31" borderId="7" applyNumberFormat="0" applyFont="0" applyAlignment="0" applyProtection="0"/>
    <xf numFmtId="0" fontId="101" fillId="26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11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105" fillId="0" borderId="0" xfId="0" applyFont="1" applyFill="1" applyAlignment="1">
      <alignment/>
    </xf>
    <xf numFmtId="0" fontId="10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1" fontId="0" fillId="0" borderId="0" xfId="42" applyFont="1" applyAlignment="1">
      <alignment/>
    </xf>
    <xf numFmtId="0" fontId="12" fillId="33" borderId="0" xfId="0" applyFont="1" applyFill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7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25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33" borderId="16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5" fillId="33" borderId="14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189" fontId="9" fillId="33" borderId="18" xfId="0" applyNumberFormat="1" applyFont="1" applyFill="1" applyBorder="1" applyAlignment="1">
      <alignment horizontal="center"/>
    </xf>
    <xf numFmtId="188" fontId="10" fillId="33" borderId="12" xfId="0" applyNumberFormat="1" applyFont="1" applyFill="1" applyBorder="1" applyAlignment="1">
      <alignment horizontal="left"/>
    </xf>
    <xf numFmtId="188" fontId="10" fillId="33" borderId="13" xfId="0" applyNumberFormat="1" applyFont="1" applyFill="1" applyBorder="1" applyAlignment="1">
      <alignment horizontal="left"/>
    </xf>
    <xf numFmtId="188" fontId="10" fillId="33" borderId="17" xfId="0" applyNumberFormat="1" applyFont="1" applyFill="1" applyBorder="1" applyAlignment="1">
      <alignment horizontal="left"/>
    </xf>
    <xf numFmtId="189" fontId="9" fillId="33" borderId="19" xfId="0" applyNumberFormat="1" applyFont="1" applyFill="1" applyBorder="1" applyAlignment="1">
      <alignment horizontal="center"/>
    </xf>
    <xf numFmtId="189" fontId="9" fillId="33" borderId="0" xfId="0" applyNumberFormat="1" applyFont="1" applyFill="1" applyBorder="1" applyAlignment="1">
      <alignment horizontal="center"/>
    </xf>
    <xf numFmtId="188" fontId="10" fillId="33" borderId="14" xfId="0" applyNumberFormat="1" applyFont="1" applyFill="1" applyBorder="1" applyAlignment="1">
      <alignment horizontal="left"/>
    </xf>
    <xf numFmtId="188" fontId="10" fillId="33" borderId="0" xfId="0" applyNumberFormat="1" applyFont="1" applyFill="1" applyBorder="1" applyAlignment="1">
      <alignment horizontal="left"/>
    </xf>
    <xf numFmtId="188" fontId="10" fillId="33" borderId="10" xfId="0" applyNumberFormat="1" applyFont="1" applyFill="1" applyBorder="1" applyAlignment="1">
      <alignment horizontal="left"/>
    </xf>
    <xf numFmtId="189" fontId="9" fillId="33" borderId="11" xfId="0" applyNumberFormat="1" applyFont="1" applyFill="1" applyBorder="1" applyAlignment="1">
      <alignment horizontal="center"/>
    </xf>
    <xf numFmtId="171" fontId="10" fillId="33" borderId="11" xfId="42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171" fontId="12" fillId="33" borderId="10" xfId="42" applyFont="1" applyFill="1" applyBorder="1" applyAlignment="1">
      <alignment/>
    </xf>
    <xf numFmtId="171" fontId="12" fillId="33" borderId="11" xfId="42" applyFont="1" applyFill="1" applyBorder="1" applyAlignment="1">
      <alignment/>
    </xf>
    <xf numFmtId="188" fontId="10" fillId="33" borderId="14" xfId="0" applyNumberFormat="1" applyFont="1" applyFill="1" applyBorder="1" applyAlignment="1">
      <alignment/>
    </xf>
    <xf numFmtId="188" fontId="10" fillId="33" borderId="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171" fontId="10" fillId="33" borderId="11" xfId="42" applyFont="1" applyFill="1" applyBorder="1" applyAlignment="1">
      <alignment/>
    </xf>
    <xf numFmtId="171" fontId="49" fillId="33" borderId="10" xfId="42" applyFont="1" applyFill="1" applyBorder="1" applyAlignment="1">
      <alignment/>
    </xf>
    <xf numFmtId="188" fontId="12" fillId="33" borderId="14" xfId="0" applyNumberFormat="1" applyFont="1" applyFill="1" applyBorder="1" applyAlignment="1">
      <alignment/>
    </xf>
    <xf numFmtId="188" fontId="12" fillId="33" borderId="0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71" fontId="12" fillId="33" borderId="20" xfId="42" applyFont="1" applyFill="1" applyBorder="1" applyAlignment="1">
      <alignment/>
    </xf>
    <xf numFmtId="171" fontId="10" fillId="33" borderId="10" xfId="42" applyFont="1" applyFill="1" applyBorder="1" applyAlignment="1">
      <alignment/>
    </xf>
    <xf numFmtId="171" fontId="10" fillId="33" borderId="14" xfId="42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1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171" fontId="10" fillId="33" borderId="0" xfId="42" applyFont="1" applyFill="1" applyBorder="1" applyAlignment="1">
      <alignment/>
    </xf>
    <xf numFmtId="0" fontId="49" fillId="33" borderId="11" xfId="0" applyFont="1" applyFill="1" applyBorder="1" applyAlignment="1">
      <alignment/>
    </xf>
    <xf numFmtId="171" fontId="49" fillId="33" borderId="11" xfId="0" applyNumberFormat="1" applyFont="1" applyFill="1" applyBorder="1" applyAlignment="1">
      <alignment/>
    </xf>
    <xf numFmtId="171" fontId="49" fillId="33" borderId="11" xfId="42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171" fontId="12" fillId="33" borderId="19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171" fontId="12" fillId="33" borderId="21" xfId="0" applyNumberFormat="1" applyFont="1" applyFill="1" applyBorder="1" applyAlignment="1">
      <alignment horizontal="center"/>
    </xf>
    <xf numFmtId="171" fontId="12" fillId="33" borderId="20" xfId="0" applyNumberFormat="1" applyFont="1" applyFill="1" applyBorder="1" applyAlignment="1">
      <alignment horizontal="center"/>
    </xf>
    <xf numFmtId="171" fontId="12" fillId="33" borderId="22" xfId="42" applyFont="1" applyFill="1" applyBorder="1" applyAlignment="1">
      <alignment/>
    </xf>
    <xf numFmtId="0" fontId="18" fillId="33" borderId="11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8" fillId="33" borderId="14" xfId="0" applyFont="1" applyFill="1" applyBorder="1" applyAlignment="1">
      <alignment horizontal="center"/>
    </xf>
    <xf numFmtId="171" fontId="12" fillId="33" borderId="17" xfId="42" applyFont="1" applyFill="1" applyBorder="1" applyAlignment="1">
      <alignment/>
    </xf>
    <xf numFmtId="0" fontId="5" fillId="33" borderId="14" xfId="0" applyFont="1" applyFill="1" applyBorder="1" applyAlignment="1">
      <alignment/>
    </xf>
    <xf numFmtId="171" fontId="12" fillId="33" borderId="20" xfId="0" applyNumberFormat="1" applyFont="1" applyFill="1" applyBorder="1" applyAlignment="1">
      <alignment/>
    </xf>
    <xf numFmtId="0" fontId="18" fillId="33" borderId="14" xfId="0" applyFont="1" applyFill="1" applyBorder="1" applyAlignment="1">
      <alignment/>
    </xf>
    <xf numFmtId="171" fontId="10" fillId="33" borderId="11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171" fontId="12" fillId="33" borderId="23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2" fillId="33" borderId="14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47" fillId="33" borderId="14" xfId="0" applyFont="1" applyFill="1" applyBorder="1" applyAlignment="1">
      <alignment/>
    </xf>
    <xf numFmtId="0" fontId="12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center"/>
    </xf>
    <xf numFmtId="171" fontId="25" fillId="33" borderId="0" xfId="42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189" fontId="25" fillId="33" borderId="24" xfId="0" applyNumberFormat="1" applyFont="1" applyFill="1" applyBorder="1" applyAlignment="1">
      <alignment horizontal="center"/>
    </xf>
    <xf numFmtId="189" fontId="25" fillId="33" borderId="12" xfId="0" applyNumberFormat="1" applyFont="1" applyFill="1" applyBorder="1" applyAlignment="1">
      <alignment horizontal="center"/>
    </xf>
    <xf numFmtId="189" fontId="15" fillId="33" borderId="19" xfId="0" applyNumberFormat="1" applyFont="1" applyFill="1" applyBorder="1" applyAlignment="1">
      <alignment horizontal="center"/>
    </xf>
    <xf numFmtId="189" fontId="10" fillId="33" borderId="19" xfId="0" applyNumberFormat="1" applyFont="1" applyFill="1" applyBorder="1" applyAlignment="1">
      <alignment horizontal="center"/>
    </xf>
    <xf numFmtId="189" fontId="10" fillId="33" borderId="10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/>
    </xf>
    <xf numFmtId="0" fontId="15" fillId="33" borderId="11" xfId="0" applyFont="1" applyFill="1" applyBorder="1" applyAlignment="1">
      <alignment horizontal="center"/>
    </xf>
    <xf numFmtId="171" fontId="47" fillId="33" borderId="11" xfId="42" applyFont="1" applyFill="1" applyBorder="1" applyAlignment="1">
      <alignment/>
    </xf>
    <xf numFmtId="171" fontId="50" fillId="33" borderId="11" xfId="42" applyFont="1" applyFill="1" applyBorder="1" applyAlignment="1">
      <alignment/>
    </xf>
    <xf numFmtId="171" fontId="12" fillId="33" borderId="0" xfId="42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171" fontId="12" fillId="33" borderId="20" xfId="42" applyFont="1" applyFill="1" applyBorder="1" applyAlignment="1">
      <alignment/>
    </xf>
    <xf numFmtId="171" fontId="12" fillId="33" borderId="22" xfId="42" applyFont="1" applyFill="1" applyBorder="1" applyAlignment="1">
      <alignment/>
    </xf>
    <xf numFmtId="171" fontId="10" fillId="33" borderId="10" xfId="42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25" fillId="33" borderId="20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25" fillId="33" borderId="25" xfId="0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171" fontId="12" fillId="33" borderId="22" xfId="0" applyNumberFormat="1" applyFont="1" applyFill="1" applyBorder="1" applyAlignment="1">
      <alignment horizontal="center"/>
    </xf>
    <xf numFmtId="0" fontId="50" fillId="33" borderId="26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8" fillId="33" borderId="28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50" fillId="33" borderId="29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8" fillId="33" borderId="31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/>
    </xf>
    <xf numFmtId="171" fontId="12" fillId="33" borderId="32" xfId="0" applyNumberFormat="1" applyFont="1" applyFill="1" applyBorder="1" applyAlignment="1">
      <alignment horizontal="center"/>
    </xf>
    <xf numFmtId="171" fontId="12" fillId="33" borderId="33" xfId="0" applyNumberFormat="1" applyFont="1" applyFill="1" applyBorder="1" applyAlignment="1">
      <alignment horizontal="center"/>
    </xf>
    <xf numFmtId="171" fontId="12" fillId="33" borderId="3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25" fillId="33" borderId="1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2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25" fillId="33" borderId="15" xfId="0" applyFont="1" applyFill="1" applyBorder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188" fontId="17" fillId="33" borderId="12" xfId="0" applyNumberFormat="1" applyFont="1" applyFill="1" applyBorder="1" applyAlignment="1">
      <alignment horizontal="left"/>
    </xf>
    <xf numFmtId="188" fontId="17" fillId="33" borderId="13" xfId="0" applyNumberFormat="1" applyFont="1" applyFill="1" applyBorder="1" applyAlignment="1">
      <alignment horizontal="left"/>
    </xf>
    <xf numFmtId="188" fontId="17" fillId="33" borderId="17" xfId="0" applyNumberFormat="1" applyFont="1" applyFill="1" applyBorder="1" applyAlignment="1">
      <alignment horizontal="left"/>
    </xf>
    <xf numFmtId="189" fontId="25" fillId="33" borderId="19" xfId="0" applyNumberFormat="1" applyFont="1" applyFill="1" applyBorder="1" applyAlignment="1">
      <alignment horizontal="center"/>
    </xf>
    <xf numFmtId="188" fontId="17" fillId="33" borderId="14" xfId="0" applyNumberFormat="1" applyFont="1" applyFill="1" applyBorder="1" applyAlignment="1">
      <alignment horizontal="left"/>
    </xf>
    <xf numFmtId="188" fontId="17" fillId="33" borderId="0" xfId="0" applyNumberFormat="1" applyFont="1" applyFill="1" applyBorder="1" applyAlignment="1">
      <alignment horizontal="left"/>
    </xf>
    <xf numFmtId="188" fontId="17" fillId="33" borderId="10" xfId="0" applyNumberFormat="1" applyFont="1" applyFill="1" applyBorder="1" applyAlignment="1">
      <alignment horizontal="left"/>
    </xf>
    <xf numFmtId="0" fontId="25" fillId="33" borderId="11" xfId="0" applyFont="1" applyFill="1" applyBorder="1" applyAlignment="1">
      <alignment/>
    </xf>
    <xf numFmtId="188" fontId="17" fillId="33" borderId="14" xfId="0" applyNumberFormat="1" applyFont="1" applyFill="1" applyBorder="1" applyAlignment="1">
      <alignment/>
    </xf>
    <xf numFmtId="188" fontId="17" fillId="33" borderId="0" xfId="0" applyNumberFormat="1" applyFont="1" applyFill="1" applyBorder="1" applyAlignment="1">
      <alignment/>
    </xf>
    <xf numFmtId="0" fontId="17" fillId="33" borderId="14" xfId="0" applyFont="1" applyFill="1" applyBorder="1" applyAlignment="1">
      <alignment/>
    </xf>
    <xf numFmtId="171" fontId="10" fillId="33" borderId="11" xfId="0" applyNumberFormat="1" applyFont="1" applyFill="1" applyBorder="1" applyAlignment="1">
      <alignment/>
    </xf>
    <xf numFmtId="171" fontId="12" fillId="33" borderId="14" xfId="42" applyFont="1" applyFill="1" applyBorder="1" applyAlignment="1">
      <alignment/>
    </xf>
    <xf numFmtId="0" fontId="19" fillId="33" borderId="14" xfId="0" applyFont="1" applyFill="1" applyBorder="1" applyAlignment="1">
      <alignment/>
    </xf>
    <xf numFmtId="188" fontId="19" fillId="33" borderId="0" xfId="0" applyNumberFormat="1" applyFont="1" applyFill="1" applyBorder="1" applyAlignment="1">
      <alignment/>
    </xf>
    <xf numFmtId="0" fontId="17" fillId="33" borderId="11" xfId="0" applyFont="1" applyFill="1" applyBorder="1" applyAlignment="1">
      <alignment/>
    </xf>
    <xf numFmtId="171" fontId="10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7" fillId="33" borderId="23" xfId="0" applyFont="1" applyFill="1" applyBorder="1" applyAlignment="1">
      <alignment/>
    </xf>
    <xf numFmtId="0" fontId="25" fillId="33" borderId="23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12" fillId="33" borderId="26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18" fillId="33" borderId="21" xfId="0" applyFont="1" applyFill="1" applyBorder="1" applyAlignment="1">
      <alignment horizontal="center"/>
    </xf>
    <xf numFmtId="0" fontId="12" fillId="33" borderId="34" xfId="0" applyFont="1" applyFill="1" applyBorder="1" applyAlignment="1">
      <alignment/>
    </xf>
    <xf numFmtId="0" fontId="11" fillId="33" borderId="35" xfId="0" applyFont="1" applyFill="1" applyBorder="1" applyAlignment="1">
      <alignment/>
    </xf>
    <xf numFmtId="0" fontId="18" fillId="33" borderId="36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171" fontId="18" fillId="33" borderId="0" xfId="0" applyNumberFormat="1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189" fontId="10" fillId="33" borderId="12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1" fontId="12" fillId="33" borderId="23" xfId="0" applyNumberFormat="1" applyFont="1" applyFill="1" applyBorder="1" applyAlignment="1">
      <alignment horizontal="center"/>
    </xf>
    <xf numFmtId="171" fontId="12" fillId="33" borderId="25" xfId="42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171" fontId="10" fillId="33" borderId="14" xfId="0" applyNumberFormat="1" applyFont="1" applyFill="1" applyBorder="1" applyAlignment="1">
      <alignment/>
    </xf>
    <xf numFmtId="171" fontId="12" fillId="33" borderId="14" xfId="0" applyNumberFormat="1" applyFont="1" applyFill="1" applyBorder="1" applyAlignment="1">
      <alignment horizontal="center"/>
    </xf>
    <xf numFmtId="171" fontId="12" fillId="33" borderId="12" xfId="0" applyNumberFormat="1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11" fillId="33" borderId="37" xfId="0" applyFont="1" applyFill="1" applyBorder="1" applyAlignment="1">
      <alignment/>
    </xf>
    <xf numFmtId="0" fontId="22" fillId="33" borderId="28" xfId="0" applyFont="1" applyFill="1" applyBorder="1" applyAlignment="1">
      <alignment horizontal="center"/>
    </xf>
    <xf numFmtId="171" fontId="12" fillId="33" borderId="28" xfId="0" applyNumberFormat="1" applyFont="1" applyFill="1" applyBorder="1" applyAlignment="1">
      <alignment horizontal="center"/>
    </xf>
    <xf numFmtId="0" fontId="18" fillId="33" borderId="14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50" fillId="33" borderId="14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18" fillId="33" borderId="30" xfId="0" applyFont="1" applyFill="1" applyBorder="1" applyAlignment="1">
      <alignment horizontal="center"/>
    </xf>
    <xf numFmtId="0" fontId="11" fillId="33" borderId="31" xfId="0" applyFont="1" applyFill="1" applyBorder="1" applyAlignment="1">
      <alignment/>
    </xf>
    <xf numFmtId="0" fontId="22" fillId="33" borderId="33" xfId="0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171" fontId="10" fillId="33" borderId="10" xfId="0" applyNumberFormat="1" applyFont="1" applyFill="1" applyBorder="1" applyAlignment="1">
      <alignment/>
    </xf>
    <xf numFmtId="171" fontId="0" fillId="34" borderId="0" xfId="42" applyFont="1" applyFill="1" applyAlignment="1">
      <alignment/>
    </xf>
    <xf numFmtId="171" fontId="10" fillId="33" borderId="14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189" fontId="9" fillId="33" borderId="24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189" fontId="10" fillId="33" borderId="11" xfId="0" applyNumberFormat="1" applyFont="1" applyFill="1" applyBorder="1" applyAlignment="1">
      <alignment horizontal="center"/>
    </xf>
    <xf numFmtId="171" fontId="10" fillId="33" borderId="11" xfId="0" applyNumberFormat="1" applyFont="1" applyFill="1" applyBorder="1" applyAlignment="1">
      <alignment horizontal="center"/>
    </xf>
    <xf numFmtId="171" fontId="12" fillId="33" borderId="37" xfId="0" applyNumberFormat="1" applyFont="1" applyFill="1" applyBorder="1" applyAlignment="1">
      <alignment horizontal="center"/>
    </xf>
    <xf numFmtId="171" fontId="12" fillId="33" borderId="11" xfId="0" applyNumberFormat="1" applyFont="1" applyFill="1" applyBorder="1" applyAlignment="1">
      <alignment horizontal="center"/>
    </xf>
    <xf numFmtId="171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171" fontId="10" fillId="33" borderId="11" xfId="42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18" fillId="33" borderId="18" xfId="0" applyFont="1" applyFill="1" applyBorder="1" applyAlignment="1">
      <alignment horizontal="center"/>
    </xf>
    <xf numFmtId="171" fontId="10" fillId="33" borderId="18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71" fontId="10" fillId="33" borderId="0" xfId="0" applyNumberFormat="1" applyFont="1" applyFill="1" applyBorder="1" applyAlignment="1">
      <alignment horizontal="center"/>
    </xf>
    <xf numFmtId="0" fontId="12" fillId="33" borderId="16" xfId="0" applyFont="1" applyFill="1" applyBorder="1" applyAlignment="1">
      <alignment/>
    </xf>
    <xf numFmtId="171" fontId="10" fillId="33" borderId="16" xfId="0" applyNumberFormat="1" applyFont="1" applyFill="1" applyBorder="1" applyAlignment="1">
      <alignment horizontal="center"/>
    </xf>
    <xf numFmtId="171" fontId="10" fillId="33" borderId="16" xfId="42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171" fontId="10" fillId="33" borderId="19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171" fontId="10" fillId="33" borderId="19" xfId="42" applyFont="1" applyFill="1" applyBorder="1" applyAlignment="1">
      <alignment/>
    </xf>
    <xf numFmtId="171" fontId="12" fillId="33" borderId="18" xfId="42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18" fillId="33" borderId="20" xfId="0" applyFont="1" applyFill="1" applyBorder="1" applyAlignment="1">
      <alignment horizontal="center"/>
    </xf>
    <xf numFmtId="0" fontId="18" fillId="33" borderId="18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71" fontId="12" fillId="33" borderId="22" xfId="0" applyNumberFormat="1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9" xfId="0" applyFont="1" applyFill="1" applyBorder="1" applyAlignment="1">
      <alignment/>
    </xf>
    <xf numFmtId="171" fontId="18" fillId="33" borderId="12" xfId="0" applyNumberFormat="1" applyFont="1" applyFill="1" applyBorder="1" applyAlignment="1">
      <alignment/>
    </xf>
    <xf numFmtId="0" fontId="18" fillId="33" borderId="11" xfId="0" applyFont="1" applyFill="1" applyBorder="1" applyAlignment="1">
      <alignment/>
    </xf>
    <xf numFmtId="171" fontId="18" fillId="33" borderId="11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71" fontId="10" fillId="33" borderId="0" xfId="42" applyFont="1" applyFill="1" applyBorder="1" applyAlignment="1">
      <alignment/>
    </xf>
    <xf numFmtId="171" fontId="10" fillId="33" borderId="14" xfId="42" applyFont="1" applyFill="1" applyBorder="1" applyAlignment="1">
      <alignment/>
    </xf>
    <xf numFmtId="171" fontId="10" fillId="33" borderId="11" xfId="42" applyFont="1" applyFill="1" applyBorder="1" applyAlignment="1">
      <alignment/>
    </xf>
    <xf numFmtId="0" fontId="25" fillId="33" borderId="11" xfId="0" applyFont="1" applyFill="1" applyBorder="1" applyAlignment="1">
      <alignment/>
    </xf>
    <xf numFmtId="171" fontId="10" fillId="33" borderId="18" xfId="42" applyFont="1" applyFill="1" applyBorder="1" applyAlignment="1">
      <alignment/>
    </xf>
    <xf numFmtId="0" fontId="18" fillId="33" borderId="10" xfId="0" applyFont="1" applyFill="1" applyBorder="1" applyAlignment="1">
      <alignment/>
    </xf>
    <xf numFmtId="171" fontId="12" fillId="33" borderId="19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171" fontId="12" fillId="33" borderId="11" xfId="0" applyNumberFormat="1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171" fontId="10" fillId="33" borderId="18" xfId="0" applyNumberFormat="1" applyFont="1" applyFill="1" applyBorder="1" applyAlignment="1">
      <alignment/>
    </xf>
    <xf numFmtId="171" fontId="18" fillId="33" borderId="0" xfId="0" applyNumberFormat="1" applyFont="1" applyFill="1" applyBorder="1" applyAlignment="1">
      <alignment/>
    </xf>
    <xf numFmtId="0" fontId="18" fillId="33" borderId="16" xfId="0" applyFont="1" applyFill="1" applyBorder="1" applyAlignment="1">
      <alignment/>
    </xf>
    <xf numFmtId="171" fontId="18" fillId="33" borderId="16" xfId="0" applyNumberFormat="1" applyFont="1" applyFill="1" applyBorder="1" applyAlignment="1">
      <alignment/>
    </xf>
    <xf numFmtId="171" fontId="10" fillId="33" borderId="16" xfId="42" applyFont="1" applyFill="1" applyBorder="1" applyAlignment="1">
      <alignment/>
    </xf>
    <xf numFmtId="171" fontId="10" fillId="33" borderId="19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171" fontId="10" fillId="33" borderId="19" xfId="42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171" fontId="10" fillId="33" borderId="10" xfId="42" applyFont="1" applyFill="1" applyBorder="1" applyAlignment="1">
      <alignment/>
    </xf>
    <xf numFmtId="171" fontId="10" fillId="33" borderId="10" xfId="42" applyNumberFormat="1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50" fillId="33" borderId="21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18" fillId="33" borderId="21" xfId="0" applyFont="1" applyFill="1" applyBorder="1" applyAlignment="1">
      <alignment/>
    </xf>
    <xf numFmtId="171" fontId="12" fillId="33" borderId="21" xfId="0" applyNumberFormat="1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189" fontId="10" fillId="33" borderId="0" xfId="0" applyNumberFormat="1" applyFont="1" applyFill="1" applyBorder="1" applyAlignment="1">
      <alignment horizontal="center"/>
    </xf>
    <xf numFmtId="171" fontId="10" fillId="33" borderId="10" xfId="42" applyFont="1" applyFill="1" applyBorder="1" applyAlignment="1">
      <alignment horizontal="center"/>
    </xf>
    <xf numFmtId="171" fontId="12" fillId="33" borderId="23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71" fontId="10" fillId="33" borderId="11" xfId="0" applyNumberFormat="1" applyFont="1" applyFill="1" applyBorder="1" applyAlignment="1">
      <alignment horizontal="center"/>
    </xf>
    <xf numFmtId="171" fontId="10" fillId="33" borderId="0" xfId="0" applyNumberFormat="1" applyFont="1" applyFill="1" applyBorder="1" applyAlignment="1">
      <alignment/>
    </xf>
    <xf numFmtId="171" fontId="10" fillId="33" borderId="11" xfId="42" applyNumberFormat="1" applyFont="1" applyFill="1" applyBorder="1" applyAlignment="1">
      <alignment/>
    </xf>
    <xf numFmtId="171" fontId="25" fillId="33" borderId="13" xfId="42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171" fontId="12" fillId="33" borderId="25" xfId="0" applyNumberFormat="1" applyFont="1" applyFill="1" applyBorder="1" applyAlignment="1">
      <alignment horizontal="center"/>
    </xf>
    <xf numFmtId="171" fontId="12" fillId="33" borderId="27" xfId="0" applyNumberFormat="1" applyFont="1" applyFill="1" applyBorder="1" applyAlignment="1">
      <alignment horizontal="center"/>
    </xf>
    <xf numFmtId="171" fontId="10" fillId="33" borderId="0" xfId="42" applyFont="1" applyFill="1" applyBorder="1" applyAlignment="1">
      <alignment horizontal="center"/>
    </xf>
    <xf numFmtId="171" fontId="12" fillId="33" borderId="23" xfId="42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89" fontId="9" fillId="33" borderId="24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171" fontId="12" fillId="33" borderId="20" xfId="42" applyFont="1" applyFill="1" applyBorder="1" applyAlignment="1">
      <alignment/>
    </xf>
    <xf numFmtId="171" fontId="12" fillId="33" borderId="2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71" fontId="9" fillId="33" borderId="10" xfId="42" applyFont="1" applyFill="1" applyBorder="1" applyAlignment="1">
      <alignment horizontal="center"/>
    </xf>
    <xf numFmtId="188" fontId="12" fillId="33" borderId="0" xfId="0" applyNumberFormat="1" applyFont="1" applyFill="1" applyBorder="1" applyAlignment="1">
      <alignment horizontal="left"/>
    </xf>
    <xf numFmtId="188" fontId="53" fillId="33" borderId="10" xfId="0" applyNumberFormat="1" applyFont="1" applyFill="1" applyBorder="1" applyAlignment="1">
      <alignment horizontal="left"/>
    </xf>
    <xf numFmtId="171" fontId="12" fillId="33" borderId="20" xfId="42" applyFont="1" applyFill="1" applyBorder="1" applyAlignment="1">
      <alignment horizontal="center"/>
    </xf>
    <xf numFmtId="171" fontId="12" fillId="33" borderId="22" xfId="42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47" fillId="33" borderId="17" xfId="0" applyFont="1" applyFill="1" applyBorder="1" applyAlignment="1">
      <alignment horizontal="center"/>
    </xf>
    <xf numFmtId="0" fontId="18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171" fontId="10" fillId="33" borderId="15" xfId="42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0" fillId="33" borderId="14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171" fontId="9" fillId="33" borderId="19" xfId="42" applyFont="1" applyFill="1" applyBorder="1" applyAlignment="1">
      <alignment horizontal="center"/>
    </xf>
    <xf numFmtId="171" fontId="12" fillId="33" borderId="11" xfId="42" applyFont="1" applyFill="1" applyBorder="1" applyAlignment="1">
      <alignment horizontal="center"/>
    </xf>
    <xf numFmtId="171" fontId="12" fillId="33" borderId="10" xfId="42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171" fontId="12" fillId="33" borderId="10" xfId="0" applyNumberFormat="1" applyFont="1" applyFill="1" applyBorder="1" applyAlignment="1">
      <alignment horizontal="center"/>
    </xf>
    <xf numFmtId="171" fontId="12" fillId="33" borderId="0" xfId="0" applyNumberFormat="1" applyFont="1" applyFill="1" applyBorder="1" applyAlignment="1">
      <alignment horizontal="center"/>
    </xf>
    <xf numFmtId="171" fontId="9" fillId="33" borderId="18" xfId="42" applyFont="1" applyFill="1" applyBorder="1" applyAlignment="1">
      <alignment horizontal="center"/>
    </xf>
    <xf numFmtId="0" fontId="50" fillId="33" borderId="20" xfId="0" applyFont="1" applyFill="1" applyBorder="1" applyAlignment="1">
      <alignment/>
    </xf>
    <xf numFmtId="171" fontId="12" fillId="33" borderId="29" xfId="42" applyFont="1" applyFill="1" applyBorder="1" applyAlignment="1">
      <alignment horizontal="center"/>
    </xf>
    <xf numFmtId="171" fontId="12" fillId="33" borderId="33" xfId="42" applyFont="1" applyFill="1" applyBorder="1" applyAlignment="1">
      <alignment/>
    </xf>
    <xf numFmtId="171" fontId="12" fillId="33" borderId="31" xfId="42" applyFont="1" applyFill="1" applyBorder="1" applyAlignment="1">
      <alignment/>
    </xf>
    <xf numFmtId="171" fontId="12" fillId="33" borderId="33" xfId="42" applyFont="1" applyFill="1" applyBorder="1" applyAlignment="1">
      <alignment horizontal="center"/>
    </xf>
    <xf numFmtId="0" fontId="50" fillId="33" borderId="38" xfId="0" applyFont="1" applyFill="1" applyBorder="1" applyAlignment="1">
      <alignment/>
    </xf>
    <xf numFmtId="0" fontId="22" fillId="33" borderId="27" xfId="0" applyFont="1" applyFill="1" applyBorder="1" applyAlignment="1">
      <alignment horizontal="center"/>
    </xf>
    <xf numFmtId="171" fontId="12" fillId="33" borderId="27" xfId="42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189" fontId="9" fillId="33" borderId="16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71" fontId="0" fillId="0" borderId="0" xfId="42" applyFont="1" applyFill="1" applyAlignment="1">
      <alignment/>
    </xf>
    <xf numFmtId="0" fontId="10" fillId="33" borderId="0" xfId="0" applyFont="1" applyFill="1" applyBorder="1" applyAlignment="1">
      <alignment/>
    </xf>
    <xf numFmtId="0" fontId="107" fillId="33" borderId="12" xfId="0" applyFont="1" applyFill="1" applyBorder="1" applyAlignment="1">
      <alignment/>
    </xf>
    <xf numFmtId="0" fontId="107" fillId="33" borderId="13" xfId="0" applyFont="1" applyFill="1" applyBorder="1" applyAlignment="1">
      <alignment/>
    </xf>
    <xf numFmtId="0" fontId="107" fillId="33" borderId="13" xfId="0" applyFont="1" applyFill="1" applyBorder="1" applyAlignment="1">
      <alignment horizontal="center"/>
    </xf>
    <xf numFmtId="171" fontId="107" fillId="33" borderId="13" xfId="42" applyFont="1" applyFill="1" applyBorder="1" applyAlignment="1">
      <alignment/>
    </xf>
    <xf numFmtId="0" fontId="107" fillId="33" borderId="14" xfId="0" applyFont="1" applyFill="1" applyBorder="1" applyAlignment="1">
      <alignment/>
    </xf>
    <xf numFmtId="0" fontId="107" fillId="33" borderId="0" xfId="0" applyFont="1" applyFill="1" applyBorder="1" applyAlignment="1">
      <alignment/>
    </xf>
    <xf numFmtId="0" fontId="107" fillId="33" borderId="0" xfId="0" applyFont="1" applyFill="1" applyBorder="1" applyAlignment="1">
      <alignment horizontal="center"/>
    </xf>
    <xf numFmtId="171" fontId="107" fillId="33" borderId="0" xfId="42" applyFont="1" applyFill="1" applyBorder="1" applyAlignment="1">
      <alignment/>
    </xf>
    <xf numFmtId="0" fontId="108" fillId="33" borderId="14" xfId="0" applyFont="1" applyFill="1" applyBorder="1" applyAlignment="1">
      <alignment/>
    </xf>
    <xf numFmtId="0" fontId="109" fillId="33" borderId="17" xfId="0" applyFont="1" applyFill="1" applyBorder="1" applyAlignment="1">
      <alignment horizontal="center"/>
    </xf>
    <xf numFmtId="171" fontId="107" fillId="33" borderId="13" xfId="42" applyFont="1" applyFill="1" applyBorder="1" applyAlignment="1">
      <alignment horizontal="center"/>
    </xf>
    <xf numFmtId="0" fontId="110" fillId="33" borderId="10" xfId="0" applyFont="1" applyFill="1" applyBorder="1" applyAlignment="1">
      <alignment horizontal="center"/>
    </xf>
    <xf numFmtId="171" fontId="107" fillId="33" borderId="0" xfId="42" applyFont="1" applyFill="1" applyBorder="1" applyAlignment="1" quotePrefix="1">
      <alignment horizontal="center"/>
    </xf>
    <xf numFmtId="0" fontId="107" fillId="33" borderId="19" xfId="0" applyFont="1" applyFill="1" applyBorder="1" applyAlignment="1">
      <alignment horizontal="center"/>
    </xf>
    <xf numFmtId="171" fontId="106" fillId="33" borderId="0" xfId="42" applyFont="1" applyFill="1" applyBorder="1" applyAlignment="1">
      <alignment horizontal="center"/>
    </xf>
    <xf numFmtId="0" fontId="111" fillId="33" borderId="11" xfId="0" applyFont="1" applyFill="1" applyBorder="1" applyAlignment="1">
      <alignment horizontal="center"/>
    </xf>
    <xf numFmtId="0" fontId="110" fillId="33" borderId="24" xfId="0" applyFont="1" applyFill="1" applyBorder="1" applyAlignment="1">
      <alignment horizontal="center"/>
    </xf>
    <xf numFmtId="171" fontId="106" fillId="33" borderId="16" xfId="42" applyFont="1" applyFill="1" applyBorder="1" applyAlignment="1">
      <alignment horizontal="center"/>
    </xf>
    <xf numFmtId="0" fontId="111" fillId="33" borderId="18" xfId="0" applyFont="1" applyFill="1" applyBorder="1" applyAlignment="1">
      <alignment horizontal="center"/>
    </xf>
    <xf numFmtId="0" fontId="106" fillId="33" borderId="14" xfId="0" applyFont="1" applyFill="1" applyBorder="1" applyAlignment="1">
      <alignment/>
    </xf>
    <xf numFmtId="0" fontId="109" fillId="33" borderId="19" xfId="0" applyFont="1" applyFill="1" applyBorder="1" applyAlignment="1">
      <alignment horizontal="center"/>
    </xf>
    <xf numFmtId="171" fontId="106" fillId="33" borderId="11" xfId="42" applyFont="1" applyFill="1" applyBorder="1" applyAlignment="1">
      <alignment/>
    </xf>
    <xf numFmtId="0" fontId="111" fillId="33" borderId="14" xfId="0" applyFont="1" applyFill="1" applyBorder="1" applyAlignment="1">
      <alignment/>
    </xf>
    <xf numFmtId="190" fontId="112" fillId="33" borderId="14" xfId="0" applyNumberFormat="1" applyFont="1" applyFill="1" applyBorder="1" applyAlignment="1">
      <alignment/>
    </xf>
    <xf numFmtId="190" fontId="107" fillId="33" borderId="0" xfId="0" applyNumberFormat="1" applyFont="1" applyFill="1" applyBorder="1" applyAlignment="1">
      <alignment/>
    </xf>
    <xf numFmtId="0" fontId="109" fillId="33" borderId="11" xfId="0" applyFont="1" applyFill="1" applyBorder="1" applyAlignment="1">
      <alignment horizontal="center"/>
    </xf>
    <xf numFmtId="188" fontId="112" fillId="33" borderId="0" xfId="0" applyNumberFormat="1" applyFont="1" applyFill="1" applyBorder="1" applyAlignment="1">
      <alignment/>
    </xf>
    <xf numFmtId="0" fontId="113" fillId="33" borderId="0" xfId="0" applyFont="1" applyFill="1" applyBorder="1" applyAlignment="1">
      <alignment/>
    </xf>
    <xf numFmtId="171" fontId="107" fillId="33" borderId="11" xfId="42" applyFont="1" applyFill="1" applyBorder="1" applyAlignment="1">
      <alignment/>
    </xf>
    <xf numFmtId="0" fontId="111" fillId="33" borderId="14" xfId="0" applyFont="1" applyFill="1" applyBorder="1" applyAlignment="1">
      <alignment horizontal="center"/>
    </xf>
    <xf numFmtId="171" fontId="108" fillId="33" borderId="20" xfId="42" applyFont="1" applyFill="1" applyBorder="1" applyAlignment="1">
      <alignment/>
    </xf>
    <xf numFmtId="171" fontId="107" fillId="33" borderId="19" xfId="42" applyFont="1" applyFill="1" applyBorder="1" applyAlignment="1">
      <alignment/>
    </xf>
    <xf numFmtId="171" fontId="107" fillId="33" borderId="14" xfId="42" applyFont="1" applyFill="1" applyBorder="1" applyAlignment="1">
      <alignment/>
    </xf>
    <xf numFmtId="0" fontId="106" fillId="33" borderId="10" xfId="0" applyFont="1" applyFill="1" applyBorder="1" applyAlignment="1">
      <alignment/>
    </xf>
    <xf numFmtId="171" fontId="107" fillId="33" borderId="11" xfId="0" applyNumberFormat="1" applyFont="1" applyFill="1" applyBorder="1" applyAlignment="1">
      <alignment/>
    </xf>
    <xf numFmtId="190" fontId="107" fillId="33" borderId="14" xfId="0" applyNumberFormat="1" applyFont="1" applyFill="1" applyBorder="1" applyAlignment="1">
      <alignment/>
    </xf>
    <xf numFmtId="171" fontId="108" fillId="33" borderId="22" xfId="0" applyNumberFormat="1" applyFont="1" applyFill="1" applyBorder="1" applyAlignment="1">
      <alignment/>
    </xf>
    <xf numFmtId="0" fontId="108" fillId="33" borderId="23" xfId="0" applyFont="1" applyFill="1" applyBorder="1" applyAlignment="1">
      <alignment/>
    </xf>
    <xf numFmtId="0" fontId="107" fillId="33" borderId="25" xfId="0" applyFont="1" applyFill="1" applyBorder="1" applyAlignment="1">
      <alignment/>
    </xf>
    <xf numFmtId="0" fontId="109" fillId="33" borderId="24" xfId="0" applyFont="1" applyFill="1" applyBorder="1" applyAlignment="1">
      <alignment horizontal="center"/>
    </xf>
    <xf numFmtId="171" fontId="108" fillId="33" borderId="22" xfId="42" applyFont="1" applyFill="1" applyBorder="1" applyAlignment="1">
      <alignment/>
    </xf>
    <xf numFmtId="171" fontId="108" fillId="33" borderId="20" xfId="0" applyNumberFormat="1" applyFont="1" applyFill="1" applyBorder="1" applyAlignment="1">
      <alignment/>
    </xf>
    <xf numFmtId="0" fontId="114" fillId="33" borderId="12" xfId="0" applyFont="1" applyFill="1" applyBorder="1" applyAlignment="1">
      <alignment/>
    </xf>
    <xf numFmtId="0" fontId="114" fillId="33" borderId="13" xfId="0" applyFont="1" applyFill="1" applyBorder="1" applyAlignment="1">
      <alignment/>
    </xf>
    <xf numFmtId="171" fontId="114" fillId="33" borderId="13" xfId="0" applyNumberFormat="1" applyFont="1" applyFill="1" applyBorder="1" applyAlignment="1">
      <alignment/>
    </xf>
    <xf numFmtId="0" fontId="115" fillId="33" borderId="0" xfId="0" applyFont="1" applyFill="1" applyBorder="1" applyAlignment="1">
      <alignment horizontal="center"/>
    </xf>
    <xf numFmtId="171" fontId="114" fillId="33" borderId="13" xfId="42" applyFont="1" applyFill="1" applyBorder="1" applyAlignment="1">
      <alignment/>
    </xf>
    <xf numFmtId="0" fontId="116" fillId="33" borderId="13" xfId="0" applyFont="1" applyFill="1" applyBorder="1" applyAlignment="1">
      <alignment/>
    </xf>
    <xf numFmtId="0" fontId="114" fillId="33" borderId="14" xfId="0" applyFont="1" applyFill="1" applyBorder="1" applyAlignment="1">
      <alignment/>
    </xf>
    <xf numFmtId="0" fontId="114" fillId="33" borderId="0" xfId="0" applyFont="1" applyFill="1" applyBorder="1" applyAlignment="1">
      <alignment/>
    </xf>
    <xf numFmtId="171" fontId="114" fillId="33" borderId="0" xfId="0" applyNumberFormat="1" applyFont="1" applyFill="1" applyBorder="1" applyAlignment="1">
      <alignment/>
    </xf>
    <xf numFmtId="171" fontId="114" fillId="33" borderId="0" xfId="42" applyFont="1" applyFill="1" applyBorder="1" applyAlignment="1">
      <alignment/>
    </xf>
    <xf numFmtId="0" fontId="116" fillId="33" borderId="0" xfId="0" applyFont="1" applyFill="1" applyBorder="1" applyAlignment="1">
      <alignment/>
    </xf>
    <xf numFmtId="43" fontId="114" fillId="33" borderId="0" xfId="0" applyNumberFormat="1" applyFont="1" applyFill="1" applyBorder="1" applyAlignment="1">
      <alignment/>
    </xf>
    <xf numFmtId="0" fontId="117" fillId="33" borderId="14" xfId="0" applyFont="1" applyFill="1" applyBorder="1" applyAlignment="1">
      <alignment/>
    </xf>
    <xf numFmtId="171" fontId="118" fillId="33" borderId="0" xfId="42" applyFont="1" applyFill="1" applyBorder="1" applyAlignment="1">
      <alignment/>
    </xf>
    <xf numFmtId="171" fontId="116" fillId="33" borderId="0" xfId="0" applyNumberFormat="1" applyFont="1" applyFill="1" applyBorder="1" applyAlignment="1">
      <alignment/>
    </xf>
    <xf numFmtId="0" fontId="117" fillId="33" borderId="0" xfId="0" applyFont="1" applyFill="1" applyBorder="1" applyAlignment="1">
      <alignment horizontal="center"/>
    </xf>
    <xf numFmtId="171" fontId="117" fillId="33" borderId="0" xfId="42" applyFont="1" applyFill="1" applyBorder="1" applyAlignment="1">
      <alignment horizontal="center"/>
    </xf>
    <xf numFmtId="0" fontId="117" fillId="33" borderId="0" xfId="0" applyFont="1" applyFill="1" applyBorder="1" applyAlignment="1">
      <alignment/>
    </xf>
    <xf numFmtId="0" fontId="117" fillId="33" borderId="0" xfId="0" applyFont="1" applyFill="1" applyBorder="1" applyAlignment="1">
      <alignment horizontal="left"/>
    </xf>
    <xf numFmtId="171" fontId="117" fillId="33" borderId="0" xfId="42" applyFont="1" applyFill="1" applyBorder="1" applyAlignment="1">
      <alignment/>
    </xf>
    <xf numFmtId="0" fontId="117" fillId="33" borderId="14" xfId="0" applyFont="1" applyFill="1" applyBorder="1" applyAlignment="1">
      <alignment horizontal="left"/>
    </xf>
    <xf numFmtId="171" fontId="117" fillId="33" borderId="0" xfId="42" applyFont="1" applyFill="1" applyBorder="1" applyAlignment="1">
      <alignment horizontal="left"/>
    </xf>
    <xf numFmtId="0" fontId="113" fillId="33" borderId="14" xfId="0" applyFont="1" applyFill="1" applyBorder="1" applyAlignment="1">
      <alignment/>
    </xf>
    <xf numFmtId="0" fontId="113" fillId="33" borderId="0" xfId="0" applyFont="1" applyFill="1" applyBorder="1" applyAlignment="1">
      <alignment horizontal="left"/>
    </xf>
    <xf numFmtId="0" fontId="117" fillId="33" borderId="15" xfId="0" applyFont="1" applyFill="1" applyBorder="1" applyAlignment="1">
      <alignment/>
    </xf>
    <xf numFmtId="0" fontId="117" fillId="33" borderId="16" xfId="0" applyFont="1" applyFill="1" applyBorder="1" applyAlignment="1">
      <alignment/>
    </xf>
    <xf numFmtId="0" fontId="117" fillId="33" borderId="16" xfId="0" applyFont="1" applyFill="1" applyBorder="1" applyAlignment="1">
      <alignment horizontal="center"/>
    </xf>
    <xf numFmtId="171" fontId="117" fillId="33" borderId="16" xfId="42" applyFont="1" applyFill="1" applyBorder="1" applyAlignment="1">
      <alignment/>
    </xf>
    <xf numFmtId="0" fontId="119" fillId="33" borderId="0" xfId="0" applyFont="1" applyFill="1" applyAlignment="1">
      <alignment/>
    </xf>
    <xf numFmtId="0" fontId="109" fillId="33" borderId="0" xfId="0" applyFont="1" applyFill="1" applyAlignment="1">
      <alignment horizontal="center"/>
    </xf>
    <xf numFmtId="171" fontId="119" fillId="33" borderId="0" xfId="42" applyFont="1" applyFill="1" applyAlignment="1">
      <alignment/>
    </xf>
    <xf numFmtId="0" fontId="120" fillId="33" borderId="0" xfId="0" applyFont="1" applyFill="1" applyAlignment="1">
      <alignment/>
    </xf>
    <xf numFmtId="0" fontId="108" fillId="33" borderId="12" xfId="0" applyFont="1" applyFill="1" applyBorder="1" applyAlignment="1">
      <alignment/>
    </xf>
    <xf numFmtId="0" fontId="109" fillId="33" borderId="0" xfId="0" applyFont="1" applyFill="1" applyBorder="1" applyAlignment="1">
      <alignment horizontal="center"/>
    </xf>
    <xf numFmtId="171" fontId="106" fillId="33" borderId="0" xfId="42" applyFont="1" applyFill="1" applyBorder="1" applyAlignment="1">
      <alignment/>
    </xf>
    <xf numFmtId="0" fontId="111" fillId="33" borderId="0" xfId="0" applyFont="1" applyFill="1" applyBorder="1" applyAlignment="1">
      <alignment/>
    </xf>
    <xf numFmtId="171" fontId="107" fillId="33" borderId="0" xfId="42" applyNumberFormat="1" applyFont="1" applyFill="1" applyBorder="1" applyAlignment="1">
      <alignment horizontal="center"/>
    </xf>
    <xf numFmtId="0" fontId="107" fillId="33" borderId="11" xfId="0" applyFont="1" applyFill="1" applyBorder="1" applyAlignment="1">
      <alignment horizontal="center"/>
    </xf>
    <xf numFmtId="171" fontId="107" fillId="33" borderId="0" xfId="42" applyFont="1" applyFill="1" applyBorder="1" applyAlignment="1">
      <alignment horizontal="center"/>
    </xf>
    <xf numFmtId="171" fontId="107" fillId="33" borderId="14" xfId="0" applyNumberFormat="1" applyFont="1" applyFill="1" applyBorder="1" applyAlignment="1">
      <alignment/>
    </xf>
    <xf numFmtId="0" fontId="110" fillId="33" borderId="11" xfId="0" applyFont="1" applyFill="1" applyBorder="1" applyAlignment="1">
      <alignment horizontal="center"/>
    </xf>
    <xf numFmtId="171" fontId="107" fillId="33" borderId="11" xfId="42" applyNumberFormat="1" applyFont="1" applyFill="1" applyBorder="1" applyAlignment="1">
      <alignment/>
    </xf>
    <xf numFmtId="0" fontId="110" fillId="33" borderId="14" xfId="0" applyFont="1" applyFill="1" applyBorder="1" applyAlignment="1">
      <alignment horizontal="center"/>
    </xf>
    <xf numFmtId="171" fontId="108" fillId="33" borderId="23" xfId="42" applyFont="1" applyFill="1" applyBorder="1" applyAlignment="1">
      <alignment/>
    </xf>
    <xf numFmtId="171" fontId="121" fillId="33" borderId="0" xfId="42" applyFont="1" applyFill="1" applyAlignment="1">
      <alignment/>
    </xf>
    <xf numFmtId="0" fontId="107" fillId="33" borderId="10" xfId="0" applyFont="1" applyFill="1" applyBorder="1" applyAlignment="1">
      <alignment/>
    </xf>
    <xf numFmtId="171" fontId="107" fillId="33" borderId="18" xfId="42" applyFont="1" applyFill="1" applyBorder="1" applyAlignment="1">
      <alignment/>
    </xf>
    <xf numFmtId="171" fontId="108" fillId="33" borderId="17" xfId="0" applyNumberFormat="1" applyFont="1" applyFill="1" applyBorder="1" applyAlignment="1">
      <alignment/>
    </xf>
    <xf numFmtId="171" fontId="107" fillId="33" borderId="18" xfId="0" applyNumberFormat="1" applyFont="1" applyFill="1" applyBorder="1" applyAlignment="1">
      <alignment/>
    </xf>
    <xf numFmtId="0" fontId="107" fillId="33" borderId="15" xfId="0" applyFont="1" applyFill="1" applyBorder="1" applyAlignment="1">
      <alignment/>
    </xf>
    <xf numFmtId="0" fontId="107" fillId="33" borderId="16" xfId="0" applyFont="1" applyFill="1" applyBorder="1" applyAlignment="1">
      <alignment/>
    </xf>
    <xf numFmtId="0" fontId="107" fillId="33" borderId="24" xfId="0" applyFont="1" applyFill="1" applyBorder="1" applyAlignment="1">
      <alignment/>
    </xf>
    <xf numFmtId="0" fontId="110" fillId="33" borderId="18" xfId="0" applyFont="1" applyFill="1" applyBorder="1" applyAlignment="1">
      <alignment horizontal="center"/>
    </xf>
    <xf numFmtId="0" fontId="115" fillId="33" borderId="13" xfId="0" applyFont="1" applyFill="1" applyBorder="1" applyAlignment="1">
      <alignment horizontal="center"/>
    </xf>
    <xf numFmtId="43" fontId="114" fillId="33" borderId="13" xfId="0" applyNumberFormat="1" applyFont="1" applyFill="1" applyBorder="1" applyAlignment="1">
      <alignment/>
    </xf>
    <xf numFmtId="171" fontId="118" fillId="33" borderId="0" xfId="42" applyFont="1" applyFill="1" applyAlignment="1">
      <alignment/>
    </xf>
    <xf numFmtId="0" fontId="113" fillId="33" borderId="0" xfId="0" applyFont="1" applyFill="1" applyBorder="1" applyAlignment="1">
      <alignment horizontal="center"/>
    </xf>
    <xf numFmtId="171" fontId="113" fillId="33" borderId="0" xfId="42" applyFont="1" applyFill="1" applyBorder="1" applyAlignment="1">
      <alignment horizontal="center"/>
    </xf>
    <xf numFmtId="0" fontId="110" fillId="33" borderId="19" xfId="0" applyFont="1" applyFill="1" applyBorder="1" applyAlignment="1">
      <alignment horizontal="center"/>
    </xf>
    <xf numFmtId="188" fontId="107" fillId="33" borderId="0" xfId="0" applyNumberFormat="1" applyFont="1" applyFill="1" applyBorder="1" applyAlignment="1">
      <alignment/>
    </xf>
    <xf numFmtId="171" fontId="107" fillId="33" borderId="0" xfId="42" applyFont="1" applyFill="1" applyAlignment="1">
      <alignment/>
    </xf>
    <xf numFmtId="171" fontId="107" fillId="33" borderId="17" xfId="0" applyNumberFormat="1" applyFont="1" applyFill="1" applyBorder="1" applyAlignment="1">
      <alignment/>
    </xf>
    <xf numFmtId="171" fontId="107" fillId="33" borderId="10" xfId="0" applyNumberFormat="1" applyFont="1" applyFill="1" applyBorder="1" applyAlignment="1">
      <alignment/>
    </xf>
    <xf numFmtId="171" fontId="108" fillId="33" borderId="0" xfId="42" applyFont="1" applyFill="1" applyBorder="1" applyAlignment="1">
      <alignment/>
    </xf>
    <xf numFmtId="0" fontId="114" fillId="33" borderId="15" xfId="0" applyFont="1" applyFill="1" applyBorder="1" applyAlignment="1">
      <alignment/>
    </xf>
    <xf numFmtId="0" fontId="114" fillId="33" borderId="16" xfId="0" applyFont="1" applyFill="1" applyBorder="1" applyAlignment="1">
      <alignment/>
    </xf>
    <xf numFmtId="0" fontId="115" fillId="33" borderId="16" xfId="0" applyFont="1" applyFill="1" applyBorder="1" applyAlignment="1">
      <alignment horizontal="center"/>
    </xf>
    <xf numFmtId="171" fontId="114" fillId="33" borderId="16" xfId="42" applyFont="1" applyFill="1" applyBorder="1" applyAlignment="1">
      <alignment/>
    </xf>
    <xf numFmtId="0" fontId="116" fillId="33" borderId="16" xfId="0" applyFont="1" applyFill="1" applyBorder="1" applyAlignment="1">
      <alignment/>
    </xf>
    <xf numFmtId="171" fontId="107" fillId="33" borderId="19" xfId="0" applyNumberFormat="1" applyFont="1" applyFill="1" applyBorder="1" applyAlignment="1">
      <alignment/>
    </xf>
    <xf numFmtId="171" fontId="107" fillId="33" borderId="11" xfId="42" applyFont="1" applyFill="1" applyBorder="1" applyAlignment="1">
      <alignment/>
    </xf>
    <xf numFmtId="171" fontId="107" fillId="33" borderId="10" xfId="42" applyFont="1" applyFill="1" applyBorder="1" applyAlignment="1">
      <alignment/>
    </xf>
    <xf numFmtId="171" fontId="107" fillId="33" borderId="18" xfId="42" applyFont="1" applyFill="1" applyBorder="1" applyAlignment="1">
      <alignment/>
    </xf>
    <xf numFmtId="171" fontId="107" fillId="33" borderId="24" xfId="42" applyFont="1" applyFill="1" applyBorder="1" applyAlignment="1">
      <alignment/>
    </xf>
    <xf numFmtId="0" fontId="110" fillId="33" borderId="15" xfId="0" applyFont="1" applyFill="1" applyBorder="1" applyAlignment="1">
      <alignment horizontal="center"/>
    </xf>
    <xf numFmtId="171" fontId="108" fillId="33" borderId="24" xfId="0" applyNumberFormat="1" applyFont="1" applyFill="1" applyBorder="1" applyAlignment="1">
      <alignment/>
    </xf>
    <xf numFmtId="0" fontId="109" fillId="33" borderId="16" xfId="0" applyFont="1" applyFill="1" applyBorder="1" applyAlignment="1">
      <alignment horizontal="center"/>
    </xf>
    <xf numFmtId="171" fontId="122" fillId="33" borderId="0" xfId="42" applyFont="1" applyFill="1" applyBorder="1" applyAlignment="1">
      <alignment/>
    </xf>
    <xf numFmtId="0" fontId="108" fillId="33" borderId="15" xfId="0" applyFont="1" applyFill="1" applyBorder="1" applyAlignment="1">
      <alignment/>
    </xf>
    <xf numFmtId="0" fontId="108" fillId="33" borderId="16" xfId="0" applyFont="1" applyFill="1" applyBorder="1" applyAlignment="1">
      <alignment/>
    </xf>
    <xf numFmtId="0" fontId="108" fillId="33" borderId="16" xfId="0" applyFont="1" applyFill="1" applyBorder="1" applyAlignment="1">
      <alignment horizontal="center"/>
    </xf>
    <xf numFmtId="171" fontId="108" fillId="33" borderId="16" xfId="42" applyFont="1" applyFill="1" applyBorder="1" applyAlignment="1">
      <alignment/>
    </xf>
    <xf numFmtId="0" fontId="110" fillId="33" borderId="17" xfId="0" applyFont="1" applyFill="1" applyBorder="1" applyAlignment="1">
      <alignment horizontal="center"/>
    </xf>
    <xf numFmtId="0" fontId="114" fillId="33" borderId="23" xfId="0" applyFont="1" applyFill="1" applyBorder="1" applyAlignment="1">
      <alignment/>
    </xf>
    <xf numFmtId="0" fontId="106" fillId="33" borderId="25" xfId="0" applyFont="1" applyFill="1" applyBorder="1" applyAlignment="1">
      <alignment/>
    </xf>
    <xf numFmtId="0" fontId="107" fillId="33" borderId="0" xfId="0" applyFont="1" applyFill="1" applyAlignment="1">
      <alignment/>
    </xf>
    <xf numFmtId="0" fontId="110" fillId="33" borderId="11" xfId="0" applyFont="1" applyFill="1" applyBorder="1" applyAlignment="1">
      <alignment horizontal="center"/>
    </xf>
    <xf numFmtId="171" fontId="107" fillId="33" borderId="0" xfId="42" applyFont="1" applyFill="1" applyAlignment="1">
      <alignment/>
    </xf>
    <xf numFmtId="0" fontId="107" fillId="33" borderId="11" xfId="0" applyFont="1" applyFill="1" applyBorder="1" applyAlignment="1">
      <alignment/>
    </xf>
    <xf numFmtId="0" fontId="109" fillId="33" borderId="18" xfId="0" applyFont="1" applyFill="1" applyBorder="1" applyAlignment="1">
      <alignment horizontal="center"/>
    </xf>
    <xf numFmtId="0" fontId="106" fillId="33" borderId="13" xfId="0" applyFont="1" applyFill="1" applyBorder="1" applyAlignment="1">
      <alignment/>
    </xf>
    <xf numFmtId="171" fontId="106" fillId="33" borderId="13" xfId="0" applyNumberFormat="1" applyFont="1" applyFill="1" applyBorder="1" applyAlignment="1">
      <alignment/>
    </xf>
    <xf numFmtId="0" fontId="109" fillId="33" borderId="13" xfId="0" applyFont="1" applyFill="1" applyBorder="1" applyAlignment="1">
      <alignment horizontal="center"/>
    </xf>
    <xf numFmtId="171" fontId="111" fillId="33" borderId="13" xfId="0" applyNumberFormat="1" applyFont="1" applyFill="1" applyBorder="1" applyAlignment="1">
      <alignment/>
    </xf>
    <xf numFmtId="171" fontId="108" fillId="33" borderId="10" xfId="42" applyFont="1" applyFill="1" applyBorder="1" applyAlignment="1">
      <alignment/>
    </xf>
    <xf numFmtId="0" fontId="109" fillId="33" borderId="10" xfId="0" applyFont="1" applyFill="1" applyBorder="1" applyAlignment="1">
      <alignment horizontal="center"/>
    </xf>
    <xf numFmtId="171" fontId="108" fillId="33" borderId="17" xfId="42" applyFont="1" applyFill="1" applyBorder="1" applyAlignment="1">
      <alignment/>
    </xf>
    <xf numFmtId="0" fontId="118" fillId="33" borderId="14" xfId="0" applyFont="1" applyFill="1" applyBorder="1" applyAlignment="1">
      <alignment/>
    </xf>
    <xf numFmtId="0" fontId="118" fillId="33" borderId="0" xfId="0" applyFont="1" applyFill="1" applyBorder="1" applyAlignment="1">
      <alignment/>
    </xf>
    <xf numFmtId="0" fontId="119" fillId="33" borderId="13" xfId="0" applyFont="1" applyFill="1" applyBorder="1" applyAlignment="1">
      <alignment/>
    </xf>
    <xf numFmtId="171" fontId="119" fillId="33" borderId="13" xfId="42" applyFont="1" applyFill="1" applyBorder="1" applyAlignment="1">
      <alignment/>
    </xf>
    <xf numFmtId="0" fontId="120" fillId="33" borderId="13" xfId="0" applyFont="1" applyFill="1" applyBorder="1" applyAlignment="1">
      <alignment/>
    </xf>
    <xf numFmtId="0" fontId="119" fillId="33" borderId="0" xfId="0" applyFont="1" applyFill="1" applyBorder="1" applyAlignment="1">
      <alignment/>
    </xf>
    <xf numFmtId="171" fontId="119" fillId="33" borderId="0" xfId="42" applyFont="1" applyFill="1" applyBorder="1" applyAlignment="1">
      <alignment/>
    </xf>
    <xf numFmtId="0" fontId="120" fillId="33" borderId="0" xfId="0" applyFont="1" applyFill="1" applyBorder="1" applyAlignment="1">
      <alignment/>
    </xf>
    <xf numFmtId="171" fontId="108" fillId="33" borderId="10" xfId="0" applyNumberFormat="1" applyFont="1" applyFill="1" applyBorder="1" applyAlignment="1">
      <alignment/>
    </xf>
    <xf numFmtId="43" fontId="117" fillId="33" borderId="0" xfId="0" applyNumberFormat="1" applyFont="1" applyFill="1" applyBorder="1" applyAlignment="1">
      <alignment/>
    </xf>
    <xf numFmtId="0" fontId="113" fillId="33" borderId="14" xfId="0" applyFont="1" applyFill="1" applyBorder="1" applyAlignment="1">
      <alignment horizontal="left"/>
    </xf>
    <xf numFmtId="0" fontId="106" fillId="33" borderId="18" xfId="0" applyFont="1" applyFill="1" applyBorder="1" applyAlignment="1">
      <alignment horizontal="center"/>
    </xf>
    <xf numFmtId="0" fontId="107" fillId="33" borderId="24" xfId="0" applyFont="1" applyFill="1" applyBorder="1" applyAlignment="1">
      <alignment horizontal="center"/>
    </xf>
    <xf numFmtId="0" fontId="108" fillId="33" borderId="13" xfId="0" applyFont="1" applyFill="1" applyBorder="1" applyAlignment="1">
      <alignment/>
    </xf>
    <xf numFmtId="171" fontId="116" fillId="33" borderId="13" xfId="0" applyNumberFormat="1" applyFont="1" applyFill="1" applyBorder="1" applyAlignment="1">
      <alignment/>
    </xf>
    <xf numFmtId="0" fontId="108" fillId="33" borderId="0" xfId="0" applyFont="1" applyFill="1" applyBorder="1" applyAlignment="1">
      <alignment horizontal="center"/>
    </xf>
    <xf numFmtId="171" fontId="108" fillId="33" borderId="13" xfId="42" applyFont="1" applyFill="1" applyBorder="1" applyAlignment="1">
      <alignment/>
    </xf>
    <xf numFmtId="43" fontId="108" fillId="33" borderId="13" xfId="0" applyNumberFormat="1" applyFont="1" applyFill="1" applyBorder="1" applyAlignment="1">
      <alignment/>
    </xf>
    <xf numFmtId="0" fontId="108" fillId="33" borderId="0" xfId="0" applyFont="1" applyFill="1" applyBorder="1" applyAlignment="1">
      <alignment/>
    </xf>
    <xf numFmtId="0" fontId="107" fillId="33" borderId="16" xfId="0" applyFont="1" applyFill="1" applyBorder="1" applyAlignment="1">
      <alignment horizontal="center"/>
    </xf>
    <xf numFmtId="171" fontId="107" fillId="33" borderId="16" xfId="42" applyFont="1" applyFill="1" applyBorder="1" applyAlignment="1">
      <alignment/>
    </xf>
    <xf numFmtId="0" fontId="107" fillId="33" borderId="18" xfId="0" applyFont="1" applyFill="1" applyBorder="1" applyAlignment="1">
      <alignment horizontal="center"/>
    </xf>
    <xf numFmtId="0" fontId="108" fillId="33" borderId="13" xfId="0" applyFont="1" applyFill="1" applyBorder="1" applyAlignment="1">
      <alignment horizontal="center"/>
    </xf>
    <xf numFmtId="43" fontId="107" fillId="33" borderId="14" xfId="0" applyNumberFormat="1" applyFont="1" applyFill="1" applyBorder="1" applyAlignment="1">
      <alignment/>
    </xf>
    <xf numFmtId="0" fontId="107" fillId="33" borderId="10" xfId="0" applyFont="1" applyFill="1" applyBorder="1" applyAlignment="1">
      <alignment horizontal="center"/>
    </xf>
    <xf numFmtId="43" fontId="108" fillId="33" borderId="0" xfId="0" applyNumberFormat="1" applyFont="1" applyFill="1" applyBorder="1" applyAlignment="1">
      <alignment/>
    </xf>
    <xf numFmtId="0" fontId="121" fillId="33" borderId="15" xfId="0" applyFont="1" applyFill="1" applyBorder="1" applyAlignment="1">
      <alignment/>
    </xf>
    <xf numFmtId="0" fontId="121" fillId="33" borderId="16" xfId="0" applyFont="1" applyFill="1" applyBorder="1" applyAlignment="1">
      <alignment/>
    </xf>
    <xf numFmtId="171" fontId="121" fillId="33" borderId="16" xfId="42" applyFont="1" applyFill="1" applyBorder="1" applyAlignment="1">
      <alignment/>
    </xf>
    <xf numFmtId="0" fontId="121" fillId="33" borderId="0" xfId="0" applyFont="1" applyFill="1" applyBorder="1" applyAlignment="1">
      <alignment/>
    </xf>
    <xf numFmtId="171" fontId="121" fillId="33" borderId="0" xfId="42" applyFont="1" applyFill="1" applyBorder="1" applyAlignment="1">
      <alignment/>
    </xf>
    <xf numFmtId="0" fontId="121" fillId="33" borderId="0" xfId="0" applyFont="1" applyFill="1" applyAlignment="1">
      <alignment/>
    </xf>
    <xf numFmtId="0" fontId="107" fillId="33" borderId="0" xfId="0" applyFont="1" applyFill="1" applyAlignment="1">
      <alignment horizontal="center"/>
    </xf>
    <xf numFmtId="171" fontId="108" fillId="33" borderId="16" xfId="0" applyNumberFormat="1" applyFont="1" applyFill="1" applyBorder="1" applyAlignment="1">
      <alignment/>
    </xf>
    <xf numFmtId="0" fontId="119" fillId="33" borderId="11" xfId="0" applyFont="1" applyFill="1" applyBorder="1" applyAlignment="1">
      <alignment/>
    </xf>
    <xf numFmtId="171" fontId="108" fillId="33" borderId="24" xfId="42" applyFont="1" applyFill="1" applyBorder="1" applyAlignment="1">
      <alignment/>
    </xf>
    <xf numFmtId="171" fontId="111" fillId="33" borderId="0" xfId="0" applyNumberFormat="1" applyFont="1" applyFill="1" applyBorder="1" applyAlignment="1">
      <alignment/>
    </xf>
    <xf numFmtId="171" fontId="117" fillId="33" borderId="16" xfId="0" applyNumberFormat="1" applyFont="1" applyFill="1" applyBorder="1" applyAlignment="1">
      <alignment/>
    </xf>
    <xf numFmtId="0" fontId="123" fillId="33" borderId="14" xfId="0" applyFont="1" applyFill="1" applyBorder="1" applyAlignment="1">
      <alignment horizontal="center"/>
    </xf>
    <xf numFmtId="0" fontId="123" fillId="33" borderId="11" xfId="0" applyFont="1" applyFill="1" applyBorder="1" applyAlignment="1">
      <alignment horizontal="center"/>
    </xf>
    <xf numFmtId="0" fontId="123" fillId="33" borderId="18" xfId="0" applyFont="1" applyFill="1" applyBorder="1" applyAlignment="1">
      <alignment horizontal="center"/>
    </xf>
    <xf numFmtId="0" fontId="107" fillId="33" borderId="14" xfId="0" applyFont="1" applyFill="1" applyBorder="1" applyAlignment="1">
      <alignment/>
    </xf>
    <xf numFmtId="0" fontId="107" fillId="33" borderId="0" xfId="0" applyFont="1" applyFill="1" applyBorder="1" applyAlignment="1">
      <alignment/>
    </xf>
    <xf numFmtId="0" fontId="107" fillId="33" borderId="10" xfId="0" applyFont="1" applyFill="1" applyBorder="1" applyAlignment="1">
      <alignment/>
    </xf>
    <xf numFmtId="0" fontId="107" fillId="33" borderId="11" xfId="0" applyFont="1" applyFill="1" applyBorder="1" applyAlignment="1">
      <alignment horizontal="center"/>
    </xf>
    <xf numFmtId="171" fontId="107" fillId="33" borderId="0" xfId="42" applyFont="1" applyFill="1" applyBorder="1" applyAlignment="1">
      <alignment/>
    </xf>
    <xf numFmtId="0" fontId="108" fillId="33" borderId="10" xfId="0" applyFont="1" applyFill="1" applyBorder="1" applyAlignment="1">
      <alignment/>
    </xf>
    <xf numFmtId="0" fontId="121" fillId="33" borderId="14" xfId="0" applyFont="1" applyFill="1" applyBorder="1" applyAlignment="1">
      <alignment/>
    </xf>
    <xf numFmtId="0" fontId="121" fillId="33" borderId="10" xfId="0" applyFont="1" applyFill="1" applyBorder="1" applyAlignment="1">
      <alignment/>
    </xf>
    <xf numFmtId="0" fontId="108" fillId="33" borderId="14" xfId="0" applyFont="1" applyFill="1" applyBorder="1" applyAlignment="1">
      <alignment/>
    </xf>
    <xf numFmtId="0" fontId="108" fillId="33" borderId="19" xfId="0" applyFont="1" applyFill="1" applyBorder="1" applyAlignment="1">
      <alignment horizontal="center"/>
    </xf>
    <xf numFmtId="43" fontId="108" fillId="33" borderId="20" xfId="42" applyNumberFormat="1" applyFont="1" applyFill="1" applyBorder="1" applyAlignment="1">
      <alignment/>
    </xf>
    <xf numFmtId="0" fontId="107" fillId="33" borderId="11" xfId="0" applyFont="1" applyFill="1" applyBorder="1" applyAlignment="1">
      <alignment/>
    </xf>
    <xf numFmtId="0" fontId="106" fillId="33" borderId="0" xfId="0" applyFont="1" applyFill="1" applyBorder="1" applyAlignment="1">
      <alignment/>
    </xf>
    <xf numFmtId="171" fontId="107" fillId="33" borderId="15" xfId="42" applyFont="1" applyFill="1" applyBorder="1" applyAlignment="1">
      <alignment/>
    </xf>
    <xf numFmtId="0" fontId="124" fillId="33" borderId="0" xfId="0" applyFont="1" applyFill="1" applyBorder="1" applyAlignment="1">
      <alignment/>
    </xf>
    <xf numFmtId="0" fontId="110" fillId="33" borderId="0" xfId="0" applyFont="1" applyFill="1" applyBorder="1" applyAlignment="1">
      <alignment horizontal="center"/>
    </xf>
    <xf numFmtId="0" fontId="107" fillId="33" borderId="16" xfId="0" applyFont="1" applyFill="1" applyBorder="1" applyAlignment="1">
      <alignment/>
    </xf>
    <xf numFmtId="0" fontId="124" fillId="33" borderId="16" xfId="0" applyFont="1" applyFill="1" applyBorder="1" applyAlignment="1">
      <alignment/>
    </xf>
    <xf numFmtId="0" fontId="110" fillId="33" borderId="16" xfId="0" applyFont="1" applyFill="1" applyBorder="1" applyAlignment="1">
      <alignment horizontal="center"/>
    </xf>
    <xf numFmtId="0" fontId="125" fillId="33" borderId="0" xfId="0" applyFont="1" applyFill="1" applyBorder="1" applyAlignment="1">
      <alignment/>
    </xf>
    <xf numFmtId="0" fontId="126" fillId="33" borderId="0" xfId="0" applyFont="1" applyFill="1" applyBorder="1" applyAlignment="1">
      <alignment/>
    </xf>
    <xf numFmtId="0" fontId="124" fillId="33" borderId="0" xfId="0" applyFont="1" applyFill="1" applyBorder="1" applyAlignment="1">
      <alignment/>
    </xf>
    <xf numFmtId="0" fontId="108" fillId="33" borderId="11" xfId="0" applyFont="1" applyFill="1" applyBorder="1" applyAlignment="1">
      <alignment horizontal="center"/>
    </xf>
    <xf numFmtId="0" fontId="112" fillId="33" borderId="0" xfId="0" applyFont="1" applyFill="1" applyBorder="1" applyAlignment="1">
      <alignment/>
    </xf>
    <xf numFmtId="0" fontId="112" fillId="33" borderId="16" xfId="0" applyFont="1" applyFill="1" applyBorder="1" applyAlignment="1">
      <alignment/>
    </xf>
    <xf numFmtId="0" fontId="107" fillId="33" borderId="0" xfId="0" applyFont="1" applyFill="1" applyBorder="1" applyAlignment="1">
      <alignment/>
    </xf>
    <xf numFmtId="0" fontId="122" fillId="33" borderId="14" xfId="0" applyFont="1" applyFill="1" applyBorder="1" applyAlignment="1">
      <alignment/>
    </xf>
    <xf numFmtId="171" fontId="108" fillId="33" borderId="20" xfId="42" applyNumberFormat="1" applyFont="1" applyFill="1" applyBorder="1" applyAlignment="1">
      <alignment/>
    </xf>
    <xf numFmtId="0" fontId="108" fillId="33" borderId="0" xfId="0" applyFont="1" applyFill="1" applyBorder="1" applyAlignment="1" quotePrefix="1">
      <alignment vertical="top"/>
    </xf>
    <xf numFmtId="0" fontId="107" fillId="33" borderId="0" xfId="0" applyFont="1" applyFill="1" applyBorder="1" applyAlignment="1">
      <alignment horizontal="left"/>
    </xf>
    <xf numFmtId="171" fontId="122" fillId="33" borderId="19" xfId="42" applyFont="1" applyFill="1" applyBorder="1" applyAlignment="1">
      <alignment/>
    </xf>
    <xf numFmtId="171" fontId="122" fillId="33" borderId="0" xfId="42" applyNumberFormat="1" applyFont="1" applyFill="1" applyBorder="1" applyAlignment="1">
      <alignment horizontal="right"/>
    </xf>
    <xf numFmtId="0" fontId="108" fillId="33" borderId="0" xfId="42" applyNumberFormat="1" applyFont="1" applyFill="1" applyBorder="1" applyAlignment="1">
      <alignment/>
    </xf>
    <xf numFmtId="0" fontId="113" fillId="33" borderId="15" xfId="0" applyFont="1" applyFill="1" applyBorder="1" applyAlignment="1">
      <alignment/>
    </xf>
    <xf numFmtId="0" fontId="113" fillId="33" borderId="16" xfId="0" applyFont="1" applyFill="1" applyBorder="1" applyAlignment="1">
      <alignment/>
    </xf>
    <xf numFmtId="0" fontId="118" fillId="33" borderId="13" xfId="0" applyFont="1" applyFill="1" applyBorder="1" applyAlignment="1">
      <alignment/>
    </xf>
    <xf numFmtId="171" fontId="118" fillId="33" borderId="13" xfId="42" applyFont="1" applyFill="1" applyBorder="1" applyAlignment="1">
      <alignment/>
    </xf>
    <xf numFmtId="0" fontId="113" fillId="33" borderId="13" xfId="0" applyFont="1" applyFill="1" applyBorder="1" applyAlignment="1">
      <alignment horizontal="center"/>
    </xf>
    <xf numFmtId="171" fontId="119" fillId="33" borderId="0" xfId="0" applyNumberFormat="1" applyFont="1" applyFill="1" applyAlignment="1">
      <alignment/>
    </xf>
    <xf numFmtId="39" fontId="109" fillId="33" borderId="0" xfId="0" applyNumberFormat="1" applyFont="1" applyFill="1" applyAlignment="1">
      <alignment horizontal="center"/>
    </xf>
    <xf numFmtId="171" fontId="120" fillId="33" borderId="0" xfId="0" applyNumberFormat="1" applyFont="1" applyFill="1" applyAlignment="1">
      <alignment/>
    </xf>
    <xf numFmtId="0" fontId="112" fillId="33" borderId="0" xfId="0" applyFont="1" applyFill="1" applyBorder="1" applyAlignment="1">
      <alignment/>
    </xf>
    <xf numFmtId="0" fontId="112" fillId="33" borderId="11" xfId="0" applyFont="1" applyFill="1" applyBorder="1" applyAlignment="1">
      <alignment/>
    </xf>
    <xf numFmtId="0" fontId="107" fillId="33" borderId="10" xfId="0" applyFont="1" applyFill="1" applyBorder="1" applyAlignment="1">
      <alignment/>
    </xf>
    <xf numFmtId="0" fontId="112" fillId="33" borderId="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171" fontId="11" fillId="33" borderId="20" xfId="42" applyFont="1" applyFill="1" applyBorder="1" applyAlignment="1">
      <alignment/>
    </xf>
    <xf numFmtId="171" fontId="9" fillId="33" borderId="11" xfId="42" applyFont="1" applyFill="1" applyBorder="1" applyAlignment="1">
      <alignment/>
    </xf>
    <xf numFmtId="171" fontId="11" fillId="33" borderId="11" xfId="42" applyFont="1" applyFill="1" applyBorder="1" applyAlignment="1">
      <alignment/>
    </xf>
    <xf numFmtId="171" fontId="9" fillId="33" borderId="11" xfId="0" applyNumberFormat="1" applyFont="1" applyFill="1" applyBorder="1" applyAlignment="1">
      <alignment/>
    </xf>
    <xf numFmtId="171" fontId="9" fillId="33" borderId="18" xfId="0" applyNumberFormat="1" applyFont="1" applyFill="1" applyBorder="1" applyAlignment="1">
      <alignment/>
    </xf>
    <xf numFmtId="171" fontId="11" fillId="33" borderId="10" xfId="0" applyNumberFormat="1" applyFont="1" applyFill="1" applyBorder="1" applyAlignment="1">
      <alignment/>
    </xf>
    <xf numFmtId="171" fontId="9" fillId="33" borderId="10" xfId="0" applyNumberFormat="1" applyFont="1" applyFill="1" applyBorder="1" applyAlignment="1">
      <alignment/>
    </xf>
    <xf numFmtId="171" fontId="9" fillId="33" borderId="11" xfId="42" applyNumberFormat="1" applyFont="1" applyFill="1" applyBorder="1" applyAlignment="1">
      <alignment/>
    </xf>
    <xf numFmtId="171" fontId="9" fillId="33" borderId="11" xfId="42" applyFont="1" applyFill="1" applyBorder="1" applyAlignment="1">
      <alignment/>
    </xf>
    <xf numFmtId="171" fontId="9" fillId="33" borderId="0" xfId="42" applyFont="1" applyFill="1" applyAlignment="1">
      <alignment/>
    </xf>
    <xf numFmtId="171" fontId="9" fillId="33" borderId="24" xfId="0" applyNumberFormat="1" applyFont="1" applyFill="1" applyBorder="1" applyAlignment="1">
      <alignment/>
    </xf>
    <xf numFmtId="171" fontId="9" fillId="33" borderId="18" xfId="42" applyFont="1" applyFill="1" applyBorder="1" applyAlignment="1">
      <alignment/>
    </xf>
    <xf numFmtId="171" fontId="9" fillId="33" borderId="0" xfId="42" applyFont="1" applyFill="1" applyBorder="1" applyAlignment="1">
      <alignment/>
    </xf>
    <xf numFmtId="171" fontId="9" fillId="33" borderId="16" xfId="42" applyFont="1" applyFill="1" applyBorder="1" applyAlignment="1">
      <alignment/>
    </xf>
    <xf numFmtId="171" fontId="11" fillId="33" borderId="10" xfId="42" applyFont="1" applyFill="1" applyBorder="1" applyAlignment="1">
      <alignment/>
    </xf>
    <xf numFmtId="171" fontId="9" fillId="33" borderId="10" xfId="42" applyFont="1" applyFill="1" applyBorder="1" applyAlignment="1">
      <alignment/>
    </xf>
    <xf numFmtId="171" fontId="122" fillId="33" borderId="13" xfId="42" applyFont="1" applyFill="1" applyBorder="1" applyAlignment="1">
      <alignment/>
    </xf>
    <xf numFmtId="171" fontId="122" fillId="33" borderId="13" xfId="42" applyNumberFormat="1" applyFont="1" applyFill="1" applyBorder="1" applyAlignment="1">
      <alignment horizontal="right"/>
    </xf>
    <xf numFmtId="0" fontId="107" fillId="33" borderId="0" xfId="0" applyFont="1" applyFill="1" applyBorder="1" applyAlignment="1">
      <alignment horizontal="center"/>
    </xf>
    <xf numFmtId="0" fontId="107" fillId="33" borderId="13" xfId="0" applyFont="1" applyFill="1" applyBorder="1" applyAlignment="1">
      <alignment horizontal="center"/>
    </xf>
    <xf numFmtId="0" fontId="106" fillId="33" borderId="15" xfId="0" applyFont="1" applyFill="1" applyBorder="1" applyAlignment="1">
      <alignment horizontal="center"/>
    </xf>
    <xf numFmtId="0" fontId="106" fillId="33" borderId="16" xfId="0" applyFont="1" applyFill="1" applyBorder="1" applyAlignment="1">
      <alignment horizontal="center"/>
    </xf>
    <xf numFmtId="0" fontId="106" fillId="33" borderId="24" xfId="0" applyFont="1" applyFill="1" applyBorder="1" applyAlignment="1">
      <alignment horizontal="center"/>
    </xf>
    <xf numFmtId="0" fontId="117" fillId="33" borderId="0" xfId="0" applyFont="1" applyFill="1" applyBorder="1" applyAlignment="1">
      <alignment horizontal="center"/>
    </xf>
    <xf numFmtId="0" fontId="113" fillId="33" borderId="14" xfId="0" applyFont="1" applyFill="1" applyBorder="1" applyAlignment="1">
      <alignment/>
    </xf>
    <xf numFmtId="0" fontId="113" fillId="33" borderId="0" xfId="0" applyFont="1" applyFill="1" applyBorder="1" applyAlignment="1">
      <alignment/>
    </xf>
    <xf numFmtId="0" fontId="113" fillId="33" borderId="0" xfId="0" applyFont="1" applyFill="1" applyBorder="1" applyAlignment="1">
      <alignment horizontal="left"/>
    </xf>
    <xf numFmtId="0" fontId="108" fillId="33" borderId="12" xfId="0" applyFont="1" applyFill="1" applyBorder="1" applyAlignment="1">
      <alignment/>
    </xf>
    <xf numFmtId="171" fontId="107" fillId="33" borderId="0" xfId="42" applyFont="1" applyFill="1" applyBorder="1" applyAlignment="1">
      <alignment vertical="center"/>
    </xf>
    <xf numFmtId="171" fontId="12" fillId="33" borderId="11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8" fillId="33" borderId="32" xfId="0" applyFont="1" applyFill="1" applyBorder="1" applyAlignment="1">
      <alignment/>
    </xf>
    <xf numFmtId="171" fontId="12" fillId="33" borderId="32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171" fontId="11" fillId="33" borderId="14" xfId="0" applyNumberFormat="1" applyFont="1" applyFill="1" applyBorder="1" applyAlignment="1">
      <alignment/>
    </xf>
    <xf numFmtId="171" fontId="11" fillId="33" borderId="11" xfId="0" applyNumberFormat="1" applyFont="1" applyFill="1" applyBorder="1" applyAlignment="1">
      <alignment/>
    </xf>
    <xf numFmtId="171" fontId="2" fillId="0" borderId="0" xfId="42" applyFont="1" applyFill="1" applyAlignment="1">
      <alignment/>
    </xf>
    <xf numFmtId="171" fontId="14" fillId="0" borderId="0" xfId="42" applyFont="1" applyFill="1" applyAlignment="1">
      <alignment/>
    </xf>
    <xf numFmtId="171" fontId="0" fillId="0" borderId="0" xfId="42" applyFont="1" applyFill="1" applyBorder="1" applyAlignment="1">
      <alignment/>
    </xf>
    <xf numFmtId="171" fontId="0" fillId="34" borderId="0" xfId="42" applyFont="1" applyFill="1" applyBorder="1" applyAlignment="1">
      <alignment/>
    </xf>
    <xf numFmtId="171" fontId="0" fillId="34" borderId="0" xfId="42" applyFont="1" applyFill="1" applyAlignment="1">
      <alignment/>
    </xf>
    <xf numFmtId="171" fontId="2" fillId="34" borderId="0" xfId="42" applyFont="1" applyFill="1" applyAlignment="1">
      <alignment/>
    </xf>
    <xf numFmtId="171" fontId="49" fillId="33" borderId="0" xfId="42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17" fillId="33" borderId="0" xfId="0" applyFont="1" applyFill="1" applyBorder="1" applyAlignment="1">
      <alignment horizontal="center"/>
    </xf>
    <xf numFmtId="0" fontId="108" fillId="33" borderId="12" xfId="0" applyFont="1" applyFill="1" applyBorder="1" applyAlignment="1">
      <alignment/>
    </xf>
    <xf numFmtId="0" fontId="108" fillId="33" borderId="13" xfId="0" applyFont="1" applyFill="1" applyBorder="1" applyAlignment="1">
      <alignment/>
    </xf>
    <xf numFmtId="0" fontId="108" fillId="33" borderId="0" xfId="0" applyFont="1" applyFill="1" applyBorder="1" applyAlignment="1">
      <alignment horizontal="center"/>
    </xf>
    <xf numFmtId="0" fontId="107" fillId="33" borderId="14" xfId="0" applyFont="1" applyFill="1" applyBorder="1" applyAlignment="1">
      <alignment horizontal="center"/>
    </xf>
    <xf numFmtId="0" fontId="112" fillId="33" borderId="11" xfId="0" applyFont="1" applyFill="1" applyBorder="1" applyAlignment="1">
      <alignment/>
    </xf>
    <xf numFmtId="0" fontId="121" fillId="33" borderId="11" xfId="0" applyFont="1" applyFill="1" applyBorder="1" applyAlignment="1">
      <alignment/>
    </xf>
    <xf numFmtId="0" fontId="112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46" fillId="33" borderId="19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108" fillId="33" borderId="12" xfId="0" applyFont="1" applyFill="1" applyBorder="1" applyAlignment="1">
      <alignment/>
    </xf>
    <xf numFmtId="0" fontId="107" fillId="33" borderId="0" xfId="0" applyFont="1" applyFill="1" applyBorder="1" applyAlignment="1">
      <alignment horizontal="center"/>
    </xf>
    <xf numFmtId="0" fontId="107" fillId="33" borderId="13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189" fontId="9" fillId="33" borderId="16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07" fillId="33" borderId="14" xfId="0" applyFont="1" applyFill="1" applyBorder="1" applyAlignment="1">
      <alignment horizontal="center"/>
    </xf>
    <xf numFmtId="0" fontId="107" fillId="33" borderId="14" xfId="0" applyFont="1" applyFill="1" applyBorder="1" applyAlignment="1">
      <alignment horizontal="center"/>
    </xf>
    <xf numFmtId="0" fontId="124" fillId="33" borderId="10" xfId="0" applyFont="1" applyFill="1" applyBorder="1" applyAlignment="1">
      <alignment/>
    </xf>
    <xf numFmtId="0" fontId="127" fillId="33" borderId="14" xfId="0" applyFont="1" applyFill="1" applyBorder="1" applyAlignment="1">
      <alignment/>
    </xf>
    <xf numFmtId="0" fontId="127" fillId="33" borderId="0" xfId="0" applyFont="1" applyFill="1" applyBorder="1" applyAlignment="1">
      <alignment/>
    </xf>
    <xf numFmtId="0" fontId="128" fillId="33" borderId="14" xfId="0" applyFont="1" applyFill="1" applyBorder="1" applyAlignment="1">
      <alignment horizontal="center"/>
    </xf>
    <xf numFmtId="171" fontId="127" fillId="33" borderId="11" xfId="42" applyFont="1" applyFill="1" applyBorder="1" applyAlignment="1">
      <alignment/>
    </xf>
    <xf numFmtId="0" fontId="108" fillId="33" borderId="0" xfId="0" applyFont="1" applyFill="1" applyBorder="1" applyAlignment="1">
      <alignment horizontal="center"/>
    </xf>
    <xf numFmtId="0" fontId="107" fillId="33" borderId="25" xfId="0" applyFont="1" applyFill="1" applyBorder="1" applyAlignment="1">
      <alignment/>
    </xf>
    <xf numFmtId="0" fontId="107" fillId="33" borderId="20" xfId="0" applyFont="1" applyFill="1" applyBorder="1" applyAlignment="1">
      <alignment horizontal="center"/>
    </xf>
    <xf numFmtId="171" fontId="122" fillId="33" borderId="0" xfId="42" applyNumberFormat="1" applyFont="1" applyFill="1" applyBorder="1" applyAlignment="1">
      <alignment/>
    </xf>
    <xf numFmtId="0" fontId="108" fillId="33" borderId="41" xfId="0" applyFont="1" applyFill="1" applyBorder="1" applyAlignment="1">
      <alignment/>
    </xf>
    <xf numFmtId="0" fontId="108" fillId="33" borderId="42" xfId="0" applyFont="1" applyFill="1" applyBorder="1" applyAlignment="1">
      <alignment/>
    </xf>
    <xf numFmtId="0" fontId="108" fillId="33" borderId="32" xfId="0" applyFont="1" applyFill="1" applyBorder="1" applyAlignment="1">
      <alignment horizontal="center"/>
    </xf>
    <xf numFmtId="171" fontId="122" fillId="33" borderId="32" xfId="42" applyFont="1" applyFill="1" applyBorder="1" applyAlignment="1">
      <alignment/>
    </xf>
    <xf numFmtId="0" fontId="117" fillId="33" borderId="0" xfId="0" applyFont="1" applyFill="1" applyBorder="1" applyAlignment="1">
      <alignment horizontal="center"/>
    </xf>
    <xf numFmtId="0" fontId="108" fillId="33" borderId="0" xfId="0" applyFont="1" applyFill="1" applyBorder="1" applyAlignment="1">
      <alignment horizontal="center"/>
    </xf>
    <xf numFmtId="0" fontId="107" fillId="33" borderId="0" xfId="0" applyFont="1" applyFill="1" applyBorder="1" applyAlignment="1">
      <alignment horizontal="center"/>
    </xf>
    <xf numFmtId="0" fontId="107" fillId="33" borderId="16" xfId="0" applyFont="1" applyFill="1" applyBorder="1" applyAlignment="1">
      <alignment/>
    </xf>
    <xf numFmtId="0" fontId="107" fillId="33" borderId="24" xfId="0" applyFont="1" applyFill="1" applyBorder="1" applyAlignment="1">
      <alignment/>
    </xf>
    <xf numFmtId="171" fontId="9" fillId="33" borderId="19" xfId="42" applyFont="1" applyFill="1" applyBorder="1" applyAlignment="1">
      <alignment/>
    </xf>
    <xf numFmtId="0" fontId="114" fillId="33" borderId="25" xfId="0" applyFont="1" applyFill="1" applyBorder="1" applyAlignment="1">
      <alignment/>
    </xf>
    <xf numFmtId="171" fontId="114" fillId="33" borderId="25" xfId="0" applyNumberFormat="1" applyFont="1" applyFill="1" applyBorder="1" applyAlignment="1">
      <alignment/>
    </xf>
    <xf numFmtId="0" fontId="115" fillId="33" borderId="23" xfId="0" applyFont="1" applyFill="1" applyBorder="1" applyAlignment="1">
      <alignment horizontal="center"/>
    </xf>
    <xf numFmtId="0" fontId="107" fillId="33" borderId="12" xfId="0" applyFont="1" applyFill="1" applyBorder="1" applyAlignment="1">
      <alignment/>
    </xf>
    <xf numFmtId="0" fontId="107" fillId="33" borderId="13" xfId="0" applyFont="1" applyFill="1" applyBorder="1" applyAlignment="1">
      <alignment/>
    </xf>
    <xf numFmtId="171" fontId="111" fillId="33" borderId="16" xfId="0" applyNumberFormat="1" applyFont="1" applyFill="1" applyBorder="1" applyAlignment="1">
      <alignment/>
    </xf>
    <xf numFmtId="0" fontId="108" fillId="33" borderId="25" xfId="0" applyFont="1" applyFill="1" applyBorder="1" applyAlignment="1">
      <alignment/>
    </xf>
    <xf numFmtId="171" fontId="111" fillId="33" borderId="25" xfId="0" applyNumberFormat="1" applyFont="1" applyFill="1" applyBorder="1" applyAlignment="1">
      <alignment/>
    </xf>
    <xf numFmtId="0" fontId="108" fillId="33" borderId="23" xfId="0" applyFont="1" applyFill="1" applyBorder="1" applyAlignment="1">
      <alignment horizontal="center"/>
    </xf>
    <xf numFmtId="0" fontId="108" fillId="33" borderId="20" xfId="0" applyFont="1" applyFill="1" applyBorder="1" applyAlignment="1">
      <alignment/>
    </xf>
    <xf numFmtId="0" fontId="108" fillId="33" borderId="11" xfId="0" applyFont="1" applyFill="1" applyBorder="1" applyAlignment="1">
      <alignment/>
    </xf>
    <xf numFmtId="0" fontId="108" fillId="33" borderId="18" xfId="0" applyFont="1" applyFill="1" applyBorder="1" applyAlignment="1">
      <alignment horizontal="center"/>
    </xf>
    <xf numFmtId="171" fontId="111" fillId="33" borderId="11" xfId="0" applyNumberFormat="1" applyFont="1" applyFill="1" applyBorder="1" applyAlignment="1">
      <alignment/>
    </xf>
    <xf numFmtId="171" fontId="111" fillId="33" borderId="20" xfId="0" applyNumberFormat="1" applyFont="1" applyFill="1" applyBorder="1" applyAlignment="1">
      <alignment/>
    </xf>
    <xf numFmtId="0" fontId="113" fillId="33" borderId="11" xfId="0" applyFont="1" applyFill="1" applyBorder="1" applyAlignment="1">
      <alignment/>
    </xf>
    <xf numFmtId="171" fontId="111" fillId="33" borderId="24" xfId="0" applyNumberFormat="1" applyFont="1" applyFill="1" applyBorder="1" applyAlignment="1">
      <alignment/>
    </xf>
    <xf numFmtId="0" fontId="107" fillId="33" borderId="15" xfId="0" applyFont="1" applyFill="1" applyBorder="1" applyAlignment="1">
      <alignment vertical="center"/>
    </xf>
    <xf numFmtId="0" fontId="117" fillId="33" borderId="0" xfId="0" applyFont="1" applyFill="1" applyBorder="1" applyAlignment="1">
      <alignment horizontal="center"/>
    </xf>
    <xf numFmtId="0" fontId="108" fillId="33" borderId="13" xfId="0" applyFont="1" applyFill="1" applyBorder="1" applyAlignment="1">
      <alignment/>
    </xf>
    <xf numFmtId="0" fontId="113" fillId="33" borderId="0" xfId="0" applyFont="1" applyFill="1" applyBorder="1" applyAlignment="1">
      <alignment horizontal="center"/>
    </xf>
    <xf numFmtId="0" fontId="107" fillId="33" borderId="14" xfId="0" applyFont="1" applyFill="1" applyBorder="1" applyAlignment="1">
      <alignment horizontal="center"/>
    </xf>
    <xf numFmtId="0" fontId="107" fillId="33" borderId="0" xfId="0" applyFont="1" applyFill="1" applyBorder="1" applyAlignment="1">
      <alignment horizontal="center"/>
    </xf>
    <xf numFmtId="0" fontId="107" fillId="33" borderId="19" xfId="0" applyFont="1" applyFill="1" applyBorder="1" applyAlignment="1">
      <alignment horizontal="center" vertical="center"/>
    </xf>
    <xf numFmtId="0" fontId="107" fillId="33" borderId="11" xfId="0" applyFont="1" applyFill="1" applyBorder="1" applyAlignment="1">
      <alignment horizontal="center" vertical="center"/>
    </xf>
    <xf numFmtId="171" fontId="108" fillId="33" borderId="19" xfId="42" applyFont="1" applyFill="1" applyBorder="1" applyAlignment="1">
      <alignment/>
    </xf>
    <xf numFmtId="171" fontId="108" fillId="33" borderId="18" xfId="42" applyFont="1" applyFill="1" applyBorder="1" applyAlignment="1">
      <alignment/>
    </xf>
    <xf numFmtId="171" fontId="108" fillId="33" borderId="19" xfId="0" applyNumberFormat="1" applyFont="1" applyFill="1" applyBorder="1" applyAlignment="1">
      <alignment/>
    </xf>
    <xf numFmtId="171" fontId="108" fillId="33" borderId="18" xfId="0" applyNumberFormat="1" applyFont="1" applyFill="1" applyBorder="1" applyAlignment="1">
      <alignment/>
    </xf>
    <xf numFmtId="171" fontId="108" fillId="33" borderId="11" xfId="0" applyNumberFormat="1" applyFont="1" applyFill="1" applyBorder="1" applyAlignment="1">
      <alignment/>
    </xf>
    <xf numFmtId="171" fontId="108" fillId="33" borderId="12" xfId="0" applyNumberFormat="1" applyFont="1" applyFill="1" applyBorder="1" applyAlignment="1">
      <alignment/>
    </xf>
    <xf numFmtId="171" fontId="108" fillId="33" borderId="15" xfId="0" applyNumberFormat="1" applyFont="1" applyFill="1" applyBorder="1" applyAlignment="1">
      <alignment/>
    </xf>
    <xf numFmtId="0" fontId="108" fillId="33" borderId="15" xfId="0" applyFont="1" applyFill="1" applyBorder="1" applyAlignment="1">
      <alignment/>
    </xf>
    <xf numFmtId="0" fontId="107" fillId="33" borderId="15" xfId="0" applyFont="1" applyFill="1" applyBorder="1" applyAlignment="1">
      <alignment horizontal="center"/>
    </xf>
    <xf numFmtId="171" fontId="11" fillId="33" borderId="20" xfId="0" applyNumberFormat="1" applyFont="1" applyFill="1" applyBorder="1" applyAlignment="1">
      <alignment/>
    </xf>
    <xf numFmtId="171" fontId="11" fillId="33" borderId="18" xfId="0" applyNumberFormat="1" applyFont="1" applyFill="1" applyBorder="1" applyAlignment="1">
      <alignment/>
    </xf>
    <xf numFmtId="171" fontId="11" fillId="33" borderId="22" xfId="0" applyNumberFormat="1" applyFont="1" applyFill="1" applyBorder="1" applyAlignment="1">
      <alignment/>
    </xf>
    <xf numFmtId="0" fontId="112" fillId="33" borderId="14" xfId="0" applyFont="1" applyFill="1" applyBorder="1" applyAlignment="1">
      <alignment/>
    </xf>
    <xf numFmtId="171" fontId="0" fillId="0" borderId="0" xfId="42" applyFont="1" applyFill="1" applyAlignment="1">
      <alignment/>
    </xf>
    <xf numFmtId="171" fontId="0" fillId="0" borderId="0" xfId="42" applyFont="1" applyFill="1" applyAlignment="1">
      <alignment horizontal="center"/>
    </xf>
    <xf numFmtId="171" fontId="0" fillId="0" borderId="0" xfId="42" applyFont="1" applyFill="1" applyBorder="1" applyAlignment="1">
      <alignment/>
    </xf>
    <xf numFmtId="171" fontId="3" fillId="0" borderId="0" xfId="42" applyFont="1" applyFill="1" applyAlignment="1">
      <alignment/>
    </xf>
    <xf numFmtId="171" fontId="0" fillId="32" borderId="0" xfId="42" applyFont="1" applyFill="1" applyAlignment="1">
      <alignment/>
    </xf>
    <xf numFmtId="171" fontId="4" fillId="0" borderId="0" xfId="42" applyFont="1" applyFill="1" applyAlignment="1">
      <alignment/>
    </xf>
    <xf numFmtId="171" fontId="105" fillId="0" borderId="0" xfId="42" applyFont="1" applyFill="1" applyAlignment="1">
      <alignment/>
    </xf>
    <xf numFmtId="171" fontId="5" fillId="0" borderId="0" xfId="42" applyFont="1" applyFill="1" applyAlignment="1">
      <alignment/>
    </xf>
    <xf numFmtId="171" fontId="0" fillId="0" borderId="0" xfId="42" applyFont="1" applyFill="1" applyAlignment="1" quotePrefix="1">
      <alignment/>
    </xf>
    <xf numFmtId="0" fontId="105" fillId="0" borderId="0" xfId="0" applyFont="1" applyFill="1" applyAlignment="1">
      <alignment horizontal="right"/>
    </xf>
    <xf numFmtId="171" fontId="119" fillId="33" borderId="11" xfId="42" applyFont="1" applyFill="1" applyBorder="1" applyAlignment="1">
      <alignment/>
    </xf>
    <xf numFmtId="0" fontId="120" fillId="33" borderId="11" xfId="0" applyFont="1" applyFill="1" applyBorder="1" applyAlignment="1">
      <alignment/>
    </xf>
    <xf numFmtId="0" fontId="107" fillId="33" borderId="0" xfId="0" applyFont="1" applyFill="1" applyBorder="1" applyAlignment="1">
      <alignment horizontal="center"/>
    </xf>
    <xf numFmtId="0" fontId="107" fillId="33" borderId="13" xfId="0" applyFont="1" applyFill="1" applyBorder="1" applyAlignment="1">
      <alignment horizontal="center"/>
    </xf>
    <xf numFmtId="0" fontId="117" fillId="33" borderId="0" xfId="0" applyFont="1" applyFill="1" applyBorder="1" applyAlignment="1">
      <alignment horizontal="center"/>
    </xf>
    <xf numFmtId="171" fontId="108" fillId="33" borderId="19" xfId="42" applyFont="1" applyFill="1" applyBorder="1" applyAlignment="1">
      <alignment/>
    </xf>
    <xf numFmtId="171" fontId="108" fillId="33" borderId="11" xfId="42" applyFont="1" applyFill="1" applyBorder="1" applyAlignment="1">
      <alignment/>
    </xf>
    <xf numFmtId="0" fontId="113" fillId="33" borderId="16" xfId="0" applyFont="1" applyFill="1" applyBorder="1" applyAlignment="1">
      <alignment horizontal="left"/>
    </xf>
    <xf numFmtId="0" fontId="108" fillId="33" borderId="12" xfId="0" applyFont="1" applyFill="1" applyBorder="1" applyAlignment="1">
      <alignment/>
    </xf>
    <xf numFmtId="0" fontId="108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9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top" wrapText="1"/>
    </xf>
    <xf numFmtId="0" fontId="25" fillId="33" borderId="18" xfId="0" applyFont="1" applyFill="1" applyBorder="1" applyAlignment="1">
      <alignment horizontal="center" vertical="top" wrapText="1"/>
    </xf>
    <xf numFmtId="0" fontId="25" fillId="33" borderId="14" xfId="0" applyFont="1" applyFill="1" applyBorder="1" applyAlignment="1">
      <alignment/>
    </xf>
    <xf numFmtId="171" fontId="9" fillId="33" borderId="14" xfId="42" applyFont="1" applyFill="1" applyBorder="1" applyAlignment="1">
      <alignment/>
    </xf>
    <xf numFmtId="171" fontId="11" fillId="33" borderId="12" xfId="0" applyNumberFormat="1" applyFont="1" applyFill="1" applyBorder="1" applyAlignment="1">
      <alignment/>
    </xf>
    <xf numFmtId="171" fontId="11" fillId="33" borderId="15" xfId="0" applyNumberFormat="1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171" fontId="9" fillId="33" borderId="14" xfId="0" applyNumberFormat="1" applyFont="1" applyFill="1" applyBorder="1" applyAlignment="1">
      <alignment/>
    </xf>
    <xf numFmtId="171" fontId="10" fillId="33" borderId="14" xfId="0" applyNumberFormat="1" applyFont="1" applyFill="1" applyBorder="1" applyAlignment="1">
      <alignment/>
    </xf>
    <xf numFmtId="171" fontId="9" fillId="33" borderId="11" xfId="42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8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171" fontId="9" fillId="33" borderId="14" xfId="42" applyNumberFormat="1" applyFont="1" applyFill="1" applyBorder="1" applyAlignment="1">
      <alignment/>
    </xf>
    <xf numFmtId="171" fontId="11" fillId="33" borderId="23" xfId="42" applyFont="1" applyFill="1" applyBorder="1" applyAlignment="1">
      <alignment/>
    </xf>
    <xf numFmtId="171" fontId="7" fillId="33" borderId="11" xfId="0" applyNumberFormat="1" applyFont="1" applyFill="1" applyBorder="1" applyAlignment="1">
      <alignment/>
    </xf>
    <xf numFmtId="171" fontId="11" fillId="33" borderId="17" xfId="0" applyNumberFormat="1" applyFont="1" applyFill="1" applyBorder="1" applyAlignment="1">
      <alignment/>
    </xf>
    <xf numFmtId="171" fontId="11" fillId="33" borderId="19" xfId="0" applyNumberFormat="1" applyFont="1" applyFill="1" applyBorder="1" applyAlignment="1">
      <alignment/>
    </xf>
    <xf numFmtId="171" fontId="11" fillId="33" borderId="11" xfId="0" applyNumberFormat="1" applyFont="1" applyFill="1" applyBorder="1" applyAlignment="1">
      <alignment/>
    </xf>
    <xf numFmtId="171" fontId="9" fillId="33" borderId="17" xfId="0" applyNumberFormat="1" applyFont="1" applyFill="1" applyBorder="1" applyAlignment="1">
      <alignment/>
    </xf>
    <xf numFmtId="0" fontId="18" fillId="33" borderId="16" xfId="0" applyFont="1" applyFill="1" applyBorder="1" applyAlignment="1">
      <alignment/>
    </xf>
    <xf numFmtId="171" fontId="9" fillId="33" borderId="19" xfId="0" applyNumberFormat="1" applyFont="1" applyFill="1" applyBorder="1" applyAlignment="1">
      <alignment/>
    </xf>
    <xf numFmtId="171" fontId="9" fillId="33" borderId="24" xfId="42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1" fillId="33" borderId="16" xfId="0" applyFont="1" applyFill="1" applyBorder="1" applyAlignment="1">
      <alignment/>
    </xf>
    <xf numFmtId="171" fontId="9" fillId="33" borderId="15" xfId="42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171" fontId="11" fillId="33" borderId="16" xfId="0" applyNumberFormat="1" applyFont="1" applyFill="1" applyBorder="1" applyAlignment="1">
      <alignment/>
    </xf>
    <xf numFmtId="171" fontId="11" fillId="33" borderId="24" xfId="0" applyNumberFormat="1" applyFont="1" applyFill="1" applyBorder="1" applyAlignment="1">
      <alignment/>
    </xf>
    <xf numFmtId="171" fontId="12" fillId="33" borderId="16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171" fontId="9" fillId="33" borderId="0" xfId="0" applyNumberFormat="1" applyFont="1" applyFill="1" applyBorder="1" applyAlignment="1">
      <alignment/>
    </xf>
    <xf numFmtId="171" fontId="9" fillId="33" borderId="16" xfId="0" applyNumberFormat="1" applyFont="1" applyFill="1" applyBorder="1" applyAlignment="1">
      <alignment/>
    </xf>
    <xf numFmtId="171" fontId="11" fillId="33" borderId="20" xfId="42" applyNumberFormat="1" applyFont="1" applyFill="1" applyBorder="1" applyAlignment="1">
      <alignment/>
    </xf>
    <xf numFmtId="171" fontId="11" fillId="33" borderId="14" xfId="42" applyFont="1" applyFill="1" applyBorder="1" applyAlignment="1">
      <alignment/>
    </xf>
    <xf numFmtId="171" fontId="22" fillId="33" borderId="0" xfId="42" applyFont="1" applyFill="1" applyBorder="1" applyAlignment="1">
      <alignment/>
    </xf>
    <xf numFmtId="171" fontId="22" fillId="33" borderId="0" xfId="42" applyNumberFormat="1" applyFont="1" applyFill="1" applyBorder="1" applyAlignment="1">
      <alignment/>
    </xf>
    <xf numFmtId="171" fontId="22" fillId="33" borderId="13" xfId="42" applyFont="1" applyFill="1" applyBorder="1" applyAlignment="1">
      <alignment/>
    </xf>
    <xf numFmtId="43" fontId="12" fillId="33" borderId="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171" fontId="8" fillId="33" borderId="0" xfId="0" applyNumberFormat="1" applyFont="1" applyFill="1" applyAlignment="1">
      <alignment/>
    </xf>
    <xf numFmtId="43" fontId="10" fillId="33" borderId="0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71" fontId="6" fillId="33" borderId="17" xfId="0" applyNumberFormat="1" applyFont="1" applyFill="1" applyBorder="1" applyAlignment="1">
      <alignment/>
    </xf>
    <xf numFmtId="171" fontId="6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1" fillId="33" borderId="24" xfId="0" applyFont="1" applyFill="1" applyBorder="1" applyAlignment="1">
      <alignment/>
    </xf>
    <xf numFmtId="171" fontId="5" fillId="33" borderId="11" xfId="0" applyNumberFormat="1" applyFont="1" applyFill="1" applyBorder="1" applyAlignment="1">
      <alignment/>
    </xf>
    <xf numFmtId="171" fontId="9" fillId="33" borderId="14" xfId="42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43" fontId="9" fillId="33" borderId="11" xfId="0" applyNumberFormat="1" applyFont="1" applyFill="1" applyBorder="1" applyAlignment="1">
      <alignment/>
    </xf>
    <xf numFmtId="0" fontId="7" fillId="33" borderId="24" xfId="0" applyFont="1" applyFill="1" applyBorder="1" applyAlignment="1">
      <alignment/>
    </xf>
    <xf numFmtId="171" fontId="12" fillId="33" borderId="24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71" fontId="11" fillId="33" borderId="0" xfId="42" applyFont="1" applyFill="1" applyBorder="1" applyAlignment="1">
      <alignment/>
    </xf>
    <xf numFmtId="171" fontId="22" fillId="33" borderId="19" xfId="42" applyFont="1" applyFill="1" applyBorder="1" applyAlignment="1">
      <alignment/>
    </xf>
    <xf numFmtId="171" fontId="22" fillId="33" borderId="10" xfId="42" applyFont="1" applyFill="1" applyBorder="1" applyAlignment="1">
      <alignment/>
    </xf>
    <xf numFmtId="171" fontId="10" fillId="33" borderId="17" xfId="42" applyFont="1" applyFill="1" applyBorder="1" applyAlignment="1">
      <alignment/>
    </xf>
    <xf numFmtId="171" fontId="15" fillId="33" borderId="10" xfId="42" applyFont="1" applyFill="1" applyBorder="1" applyAlignment="1">
      <alignment/>
    </xf>
    <xf numFmtId="171" fontId="129" fillId="33" borderId="10" xfId="0" applyNumberFormat="1" applyFont="1" applyFill="1" applyBorder="1" applyAlignment="1">
      <alignment/>
    </xf>
    <xf numFmtId="171" fontId="10" fillId="33" borderId="10" xfId="0" applyNumberFormat="1" applyFont="1" applyFill="1" applyBorder="1" applyAlignment="1">
      <alignment/>
    </xf>
    <xf numFmtId="171" fontId="12" fillId="33" borderId="10" xfId="42" applyFont="1" applyFill="1" applyBorder="1" applyAlignment="1">
      <alignment/>
    </xf>
    <xf numFmtId="171" fontId="12" fillId="33" borderId="10" xfId="0" applyNumberFormat="1" applyFont="1" applyFill="1" applyBorder="1" applyAlignment="1">
      <alignment/>
    </xf>
    <xf numFmtId="171" fontId="0" fillId="33" borderId="0" xfId="42" applyFont="1" applyFill="1" applyBorder="1" applyAlignment="1">
      <alignment/>
    </xf>
    <xf numFmtId="171" fontId="0" fillId="33" borderId="0" xfId="0" applyNumberFormat="1" applyFont="1" applyFill="1" applyAlignment="1">
      <alignment/>
    </xf>
    <xf numFmtId="171" fontId="9" fillId="33" borderId="13" xfId="42" applyFont="1" applyFill="1" applyBorder="1" applyAlignment="1">
      <alignment/>
    </xf>
    <xf numFmtId="171" fontId="9" fillId="33" borderId="17" xfId="42" applyFont="1" applyFill="1" applyBorder="1" applyAlignment="1">
      <alignment/>
    </xf>
    <xf numFmtId="171" fontId="113" fillId="33" borderId="16" xfId="42" applyFont="1" applyFill="1" applyBorder="1" applyAlignment="1">
      <alignment horizontal="left"/>
    </xf>
    <xf numFmtId="0" fontId="115" fillId="33" borderId="19" xfId="0" applyFont="1" applyFill="1" applyBorder="1" applyAlignment="1">
      <alignment horizontal="center"/>
    </xf>
    <xf numFmtId="171" fontId="114" fillId="33" borderId="19" xfId="42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14" fillId="33" borderId="19" xfId="0" applyFont="1" applyFill="1" applyBorder="1" applyAlignment="1">
      <alignment/>
    </xf>
    <xf numFmtId="0" fontId="116" fillId="33" borderId="19" xfId="0" applyFont="1" applyFill="1" applyBorder="1" applyAlignment="1">
      <alignment/>
    </xf>
    <xf numFmtId="171" fontId="6" fillId="33" borderId="19" xfId="0" applyNumberFormat="1" applyFont="1" applyFill="1" applyBorder="1" applyAlignment="1">
      <alignment/>
    </xf>
    <xf numFmtId="0" fontId="115" fillId="33" borderId="11" xfId="0" applyFont="1" applyFill="1" applyBorder="1" applyAlignment="1">
      <alignment horizontal="center"/>
    </xf>
    <xf numFmtId="171" fontId="114" fillId="33" borderId="11" xfId="42" applyFont="1" applyFill="1" applyBorder="1" applyAlignment="1">
      <alignment/>
    </xf>
    <xf numFmtId="0" fontId="18" fillId="33" borderId="11" xfId="0" applyFont="1" applyFill="1" applyBorder="1" applyAlignment="1">
      <alignment/>
    </xf>
    <xf numFmtId="43" fontId="114" fillId="33" borderId="11" xfId="0" applyNumberFormat="1" applyFont="1" applyFill="1" applyBorder="1" applyAlignment="1">
      <alignment/>
    </xf>
    <xf numFmtId="0" fontId="116" fillId="33" borderId="11" xfId="0" applyFont="1" applyFill="1" applyBorder="1" applyAlignment="1">
      <alignment/>
    </xf>
    <xf numFmtId="171" fontId="6" fillId="33" borderId="11" xfId="0" applyNumberFormat="1" applyFont="1" applyFill="1" applyBorder="1" applyAlignment="1">
      <alignment/>
    </xf>
    <xf numFmtId="171" fontId="106" fillId="33" borderId="19" xfId="42" applyFont="1" applyFill="1" applyBorder="1" applyAlignment="1">
      <alignment/>
    </xf>
    <xf numFmtId="171" fontId="25" fillId="33" borderId="19" xfId="0" applyNumberFormat="1" applyFont="1" applyFill="1" applyBorder="1" applyAlignment="1">
      <alignment/>
    </xf>
    <xf numFmtId="171" fontId="106" fillId="33" borderId="19" xfId="0" applyNumberFormat="1" applyFont="1" applyFill="1" applyBorder="1" applyAlignment="1">
      <alignment/>
    </xf>
    <xf numFmtId="171" fontId="111" fillId="33" borderId="19" xfId="0" applyNumberFormat="1" applyFont="1" applyFill="1" applyBorder="1" applyAlignment="1">
      <alignment/>
    </xf>
    <xf numFmtId="171" fontId="5" fillId="33" borderId="19" xfId="0" applyNumberFormat="1" applyFont="1" applyFill="1" applyBorder="1" applyAlignment="1">
      <alignment/>
    </xf>
    <xf numFmtId="0" fontId="114" fillId="33" borderId="11" xfId="0" applyFont="1" applyFill="1" applyBorder="1" applyAlignment="1">
      <alignment/>
    </xf>
    <xf numFmtId="0" fontId="108" fillId="33" borderId="14" xfId="0" applyFont="1" applyFill="1" applyBorder="1" applyAlignment="1">
      <alignment horizontal="left" vertical="center"/>
    </xf>
    <xf numFmtId="0" fontId="108" fillId="33" borderId="14" xfId="0" applyFont="1" applyFill="1" applyBorder="1" applyAlignment="1">
      <alignment vertical="center"/>
    </xf>
    <xf numFmtId="0" fontId="11" fillId="33" borderId="19" xfId="0" applyFont="1" applyFill="1" applyBorder="1" applyAlignment="1">
      <alignment/>
    </xf>
    <xf numFmtId="43" fontId="108" fillId="33" borderId="19" xfId="0" applyNumberFormat="1" applyFont="1" applyFill="1" applyBorder="1" applyAlignment="1">
      <alignment/>
    </xf>
    <xf numFmtId="0" fontId="108" fillId="33" borderId="19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43" fontId="108" fillId="33" borderId="11" xfId="0" applyNumberFormat="1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25" fillId="33" borderId="24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189" fontId="9" fillId="33" borderId="10" xfId="0" applyNumberFormat="1" applyFont="1" applyFill="1" applyBorder="1" applyAlignment="1">
      <alignment horizontal="center"/>
    </xf>
    <xf numFmtId="171" fontId="9" fillId="33" borderId="11" xfId="42" applyFont="1" applyFill="1" applyBorder="1" applyAlignment="1">
      <alignment horizontal="center"/>
    </xf>
    <xf numFmtId="171" fontId="11" fillId="33" borderId="22" xfId="42" applyFont="1" applyFill="1" applyBorder="1" applyAlignment="1">
      <alignment horizontal="center"/>
    </xf>
    <xf numFmtId="171" fontId="11" fillId="33" borderId="10" xfId="42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171" fontId="13" fillId="33" borderId="20" xfId="42" applyFont="1" applyFill="1" applyBorder="1" applyAlignment="1">
      <alignment/>
    </xf>
    <xf numFmtId="171" fontId="50" fillId="33" borderId="21" xfId="0" applyNumberFormat="1" applyFont="1" applyFill="1" applyBorder="1" applyAlignment="1">
      <alignment horizontal="center"/>
    </xf>
    <xf numFmtId="171" fontId="50" fillId="33" borderId="11" xfId="0" applyNumberFormat="1" applyFont="1" applyFill="1" applyBorder="1" applyAlignment="1">
      <alignment horizontal="center"/>
    </xf>
    <xf numFmtId="171" fontId="13" fillId="33" borderId="11" xfId="42" applyFont="1" applyFill="1" applyBorder="1" applyAlignment="1">
      <alignment/>
    </xf>
    <xf numFmtId="171" fontId="50" fillId="33" borderId="20" xfId="42" applyFont="1" applyFill="1" applyBorder="1" applyAlignment="1">
      <alignment/>
    </xf>
    <xf numFmtId="171" fontId="13" fillId="33" borderId="0" xfId="42" applyFont="1" applyFill="1" applyBorder="1" applyAlignment="1">
      <alignment/>
    </xf>
    <xf numFmtId="171" fontId="13" fillId="33" borderId="16" xfId="42" applyFont="1" applyFill="1" applyBorder="1" applyAlignment="1">
      <alignment/>
    </xf>
    <xf numFmtId="171" fontId="13" fillId="33" borderId="19" xfId="42" applyFont="1" applyFill="1" applyBorder="1" applyAlignment="1">
      <alignment/>
    </xf>
    <xf numFmtId="171" fontId="50" fillId="33" borderId="22" xfId="0" applyNumberFormat="1" applyFont="1" applyFill="1" applyBorder="1" applyAlignment="1">
      <alignment/>
    </xf>
    <xf numFmtId="171" fontId="18" fillId="33" borderId="19" xfId="0" applyNumberFormat="1" applyFont="1" applyFill="1" applyBorder="1" applyAlignment="1">
      <alignment/>
    </xf>
    <xf numFmtId="171" fontId="13" fillId="33" borderId="0" xfId="0" applyNumberFormat="1" applyFont="1" applyFill="1" applyBorder="1" applyAlignment="1">
      <alignment/>
    </xf>
    <xf numFmtId="171" fontId="13" fillId="33" borderId="16" xfId="0" applyNumberFormat="1" applyFont="1" applyFill="1" applyBorder="1" applyAlignment="1">
      <alignment/>
    </xf>
    <xf numFmtId="171" fontId="13" fillId="33" borderId="19" xfId="0" applyNumberFormat="1" applyFont="1" applyFill="1" applyBorder="1" applyAlignment="1">
      <alignment/>
    </xf>
    <xf numFmtId="171" fontId="12" fillId="33" borderId="11" xfId="0" applyNumberFormat="1" applyFont="1" applyFill="1" applyBorder="1" applyAlignment="1">
      <alignment/>
    </xf>
    <xf numFmtId="171" fontId="13" fillId="33" borderId="11" xfId="0" applyNumberFormat="1" applyFont="1" applyFill="1" applyBorder="1" applyAlignment="1">
      <alignment/>
    </xf>
    <xf numFmtId="171" fontId="12" fillId="33" borderId="18" xfId="0" applyNumberFormat="1" applyFont="1" applyFill="1" applyBorder="1" applyAlignment="1">
      <alignment/>
    </xf>
    <xf numFmtId="171" fontId="12" fillId="33" borderId="19" xfId="0" applyNumberFormat="1" applyFont="1" applyFill="1" applyBorder="1" applyAlignment="1">
      <alignment/>
    </xf>
    <xf numFmtId="171" fontId="12" fillId="33" borderId="19" xfId="42" applyFont="1" applyFill="1" applyBorder="1" applyAlignment="1">
      <alignment/>
    </xf>
    <xf numFmtId="171" fontId="12" fillId="33" borderId="11" xfId="42" applyFont="1" applyFill="1" applyBorder="1" applyAlignment="1">
      <alignment/>
    </xf>
    <xf numFmtId="171" fontId="50" fillId="33" borderId="20" xfId="0" applyNumberFormat="1" applyFont="1" applyFill="1" applyBorder="1" applyAlignment="1">
      <alignment/>
    </xf>
    <xf numFmtId="171" fontId="50" fillId="33" borderId="32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89" fontId="47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171" fontId="47" fillId="33" borderId="10" xfId="42" applyFont="1" applyFill="1" applyBorder="1" applyAlignment="1">
      <alignment/>
    </xf>
    <xf numFmtId="171" fontId="50" fillId="33" borderId="10" xfId="42" applyFont="1" applyFill="1" applyBorder="1" applyAlignment="1">
      <alignment/>
    </xf>
    <xf numFmtId="171" fontId="50" fillId="33" borderId="20" xfId="42" applyFont="1" applyFill="1" applyBorder="1" applyAlignment="1">
      <alignment/>
    </xf>
    <xf numFmtId="171" fontId="47" fillId="33" borderId="10" xfId="42" applyFont="1" applyFill="1" applyBorder="1" applyAlignment="1">
      <alignment/>
    </xf>
    <xf numFmtId="171" fontId="50" fillId="33" borderId="33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2" fillId="33" borderId="24" xfId="0" applyFont="1" applyFill="1" applyBorder="1" applyAlignment="1">
      <alignment horizontal="center"/>
    </xf>
    <xf numFmtId="171" fontId="80" fillId="33" borderId="10" xfId="0" applyNumberFormat="1" applyFont="1" applyFill="1" applyBorder="1" applyAlignment="1">
      <alignment/>
    </xf>
    <xf numFmtId="171" fontId="13" fillId="33" borderId="43" xfId="0" applyNumberFormat="1" applyFont="1" applyFill="1" applyBorder="1" applyAlignment="1">
      <alignment horizontal="center"/>
    </xf>
    <xf numFmtId="171" fontId="18" fillId="33" borderId="10" xfId="0" applyNumberFormat="1" applyFont="1" applyFill="1" applyBorder="1" applyAlignment="1">
      <alignment horizontal="center"/>
    </xf>
    <xf numFmtId="171" fontId="50" fillId="33" borderId="22" xfId="42" applyFont="1" applyFill="1" applyBorder="1" applyAlignment="1">
      <alignment/>
    </xf>
    <xf numFmtId="171" fontId="47" fillId="33" borderId="11" xfId="0" applyNumberFormat="1" applyFont="1" applyFill="1" applyBorder="1" applyAlignment="1">
      <alignment/>
    </xf>
    <xf numFmtId="171" fontId="50" fillId="33" borderId="28" xfId="0" applyNumberFormat="1" applyFont="1" applyFill="1" applyBorder="1" applyAlignment="1">
      <alignment horizontal="center"/>
    </xf>
    <xf numFmtId="171" fontId="50" fillId="33" borderId="22" xfId="42" applyFont="1" applyFill="1" applyBorder="1" applyAlignment="1">
      <alignment/>
    </xf>
    <xf numFmtId="171" fontId="50" fillId="33" borderId="31" xfId="42" applyFont="1" applyFill="1" applyBorder="1" applyAlignment="1">
      <alignment/>
    </xf>
    <xf numFmtId="171" fontId="50" fillId="33" borderId="33" xfId="42" applyFont="1" applyFill="1" applyBorder="1" applyAlignment="1">
      <alignment horizontal="center"/>
    </xf>
    <xf numFmtId="171" fontId="50" fillId="33" borderId="28" xfId="42" applyFont="1" applyFill="1" applyBorder="1" applyAlignment="1">
      <alignment horizontal="center"/>
    </xf>
    <xf numFmtId="0" fontId="107" fillId="33" borderId="14" xfId="0" applyFont="1" applyFill="1" applyBorder="1" applyAlignment="1">
      <alignment horizontal="center"/>
    </xf>
    <xf numFmtId="0" fontId="107" fillId="33" borderId="0" xfId="0" applyFont="1" applyFill="1" applyBorder="1" applyAlignment="1">
      <alignment horizontal="center"/>
    </xf>
    <xf numFmtId="0" fontId="107" fillId="33" borderId="13" xfId="0" applyFont="1" applyFill="1" applyBorder="1" applyAlignment="1">
      <alignment horizontal="center"/>
    </xf>
    <xf numFmtId="171" fontId="108" fillId="33" borderId="18" xfId="42" applyFont="1" applyFill="1" applyBorder="1" applyAlignment="1">
      <alignment/>
    </xf>
    <xf numFmtId="171" fontId="108" fillId="33" borderId="11" xfId="42" applyFont="1" applyFill="1" applyBorder="1" applyAlignment="1">
      <alignment/>
    </xf>
    <xf numFmtId="0" fontId="112" fillId="33" borderId="0" xfId="0" applyFont="1" applyFill="1" applyBorder="1" applyAlignment="1">
      <alignment horizontal="left"/>
    </xf>
    <xf numFmtId="0" fontId="112" fillId="33" borderId="10" xfId="0" applyFont="1" applyFill="1" applyBorder="1" applyAlignment="1">
      <alignment horizontal="left"/>
    </xf>
    <xf numFmtId="0" fontId="107" fillId="33" borderId="15" xfId="0" applyFont="1" applyFill="1" applyBorder="1" applyAlignment="1">
      <alignment/>
    </xf>
    <xf numFmtId="0" fontId="106" fillId="33" borderId="16" xfId="0" applyFont="1" applyFill="1" applyBorder="1" applyAlignment="1">
      <alignment/>
    </xf>
    <xf numFmtId="171" fontId="11" fillId="33" borderId="15" xfId="42" applyFont="1" applyFill="1" applyBorder="1" applyAlignment="1">
      <alignment/>
    </xf>
    <xf numFmtId="171" fontId="11" fillId="33" borderId="18" xfId="42" applyFont="1" applyFill="1" applyBorder="1" applyAlignment="1">
      <alignment/>
    </xf>
    <xf numFmtId="0" fontId="121" fillId="33" borderId="12" xfId="0" applyFont="1" applyFill="1" applyBorder="1" applyAlignment="1">
      <alignment/>
    </xf>
    <xf numFmtId="0" fontId="130" fillId="33" borderId="0" xfId="0" applyFont="1" applyFill="1" applyBorder="1" applyAlignment="1">
      <alignment/>
    </xf>
    <xf numFmtId="171" fontId="117" fillId="33" borderId="0" xfId="0" applyNumberFormat="1" applyFont="1" applyFill="1" applyBorder="1" applyAlignment="1">
      <alignment horizontal="left"/>
    </xf>
    <xf numFmtId="171" fontId="113" fillId="33" borderId="16" xfId="0" applyNumberFormat="1" applyFont="1" applyFill="1" applyBorder="1" applyAlignment="1">
      <alignment horizontal="left"/>
    </xf>
    <xf numFmtId="171" fontId="117" fillId="33" borderId="14" xfId="0" applyNumberFormat="1" applyFont="1" applyFill="1" applyBorder="1" applyAlignment="1">
      <alignment/>
    </xf>
    <xf numFmtId="171" fontId="113" fillId="33" borderId="15" xfId="0" applyNumberFormat="1" applyFont="1" applyFill="1" applyBorder="1" applyAlignment="1">
      <alignment/>
    </xf>
    <xf numFmtId="0" fontId="117" fillId="33" borderId="0" xfId="0" applyFont="1" applyFill="1" applyBorder="1" applyAlignment="1">
      <alignment horizontal="center"/>
    </xf>
    <xf numFmtId="0" fontId="108" fillId="33" borderId="14" xfId="0" applyFont="1" applyFill="1" applyBorder="1" applyAlignment="1">
      <alignment/>
    </xf>
    <xf numFmtId="0" fontId="108" fillId="33" borderId="0" xfId="0" applyFont="1" applyFill="1" applyBorder="1" applyAlignment="1">
      <alignment/>
    </xf>
    <xf numFmtId="0" fontId="113" fillId="33" borderId="0" xfId="0" applyFont="1" applyFill="1" applyBorder="1" applyAlignment="1">
      <alignment horizontal="center"/>
    </xf>
    <xf numFmtId="0" fontId="108" fillId="33" borderId="0" xfId="0" applyFont="1" applyFill="1" applyBorder="1" applyAlignment="1">
      <alignment horizontal="center"/>
    </xf>
    <xf numFmtId="171" fontId="108" fillId="33" borderId="19" xfId="0" applyNumberFormat="1" applyFont="1" applyFill="1" applyBorder="1" applyAlignment="1">
      <alignment/>
    </xf>
    <xf numFmtId="171" fontId="108" fillId="33" borderId="18" xfId="0" applyNumberFormat="1" applyFont="1" applyFill="1" applyBorder="1" applyAlignment="1">
      <alignment/>
    </xf>
    <xf numFmtId="171" fontId="11" fillId="33" borderId="19" xfId="0" applyNumberFormat="1" applyFont="1" applyFill="1" applyBorder="1" applyAlignment="1">
      <alignment/>
    </xf>
    <xf numFmtId="171" fontId="11" fillId="33" borderId="18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119" fillId="33" borderId="14" xfId="0" applyFont="1" applyFill="1" applyBorder="1" applyAlignment="1">
      <alignment/>
    </xf>
    <xf numFmtId="171" fontId="13" fillId="33" borderId="11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46" fillId="33" borderId="18" xfId="0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25" fillId="33" borderId="19" xfId="0" applyFont="1" applyFill="1" applyBorder="1" applyAlignment="1">
      <alignment/>
    </xf>
    <xf numFmtId="171" fontId="10" fillId="33" borderId="10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171" fontId="49" fillId="33" borderId="11" xfId="42" applyFont="1" applyFill="1" applyBorder="1" applyAlignment="1">
      <alignment/>
    </xf>
    <xf numFmtId="171" fontId="10" fillId="33" borderId="11" xfId="42" applyFont="1" applyFill="1" applyBorder="1" applyAlignment="1">
      <alignment/>
    </xf>
    <xf numFmtId="171" fontId="49" fillId="33" borderId="18" xfId="42" applyFont="1" applyFill="1" applyBorder="1" applyAlignment="1">
      <alignment/>
    </xf>
    <xf numFmtId="171" fontId="10" fillId="33" borderId="19" xfId="42" applyFont="1" applyFill="1" applyBorder="1" applyAlignment="1">
      <alignment/>
    </xf>
    <xf numFmtId="171" fontId="10" fillId="33" borderId="18" xfId="42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14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189" fontId="9" fillId="33" borderId="15" xfId="0" applyNumberFormat="1" applyFont="1" applyFill="1" applyBorder="1" applyAlignment="1">
      <alignment horizontal="center"/>
    </xf>
    <xf numFmtId="189" fontId="9" fillId="33" borderId="16" xfId="0" applyNumberFormat="1" applyFont="1" applyFill="1" applyBorder="1" applyAlignment="1">
      <alignment horizontal="center"/>
    </xf>
    <xf numFmtId="189" fontId="9" fillId="33" borderId="24" xfId="0" applyNumberFormat="1" applyFont="1" applyFill="1" applyBorder="1" applyAlignment="1">
      <alignment horizontal="center"/>
    </xf>
    <xf numFmtId="0" fontId="83" fillId="33" borderId="14" xfId="0" applyFont="1" applyFill="1" applyBorder="1" applyAlignment="1">
      <alignment horizontal="center"/>
    </xf>
    <xf numFmtId="0" fontId="83" fillId="33" borderId="0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/>
    </xf>
    <xf numFmtId="0" fontId="82" fillId="33" borderId="14" xfId="0" applyFont="1" applyFill="1" applyBorder="1" applyAlignment="1">
      <alignment horizontal="center"/>
    </xf>
    <xf numFmtId="0" fontId="82" fillId="33" borderId="0" xfId="0" applyFont="1" applyFill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84" fillId="33" borderId="14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/>
    </xf>
    <xf numFmtId="0" fontId="82" fillId="33" borderId="14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83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85" fillId="33" borderId="0" xfId="0" applyFont="1" applyFill="1" applyBorder="1" applyAlignment="1">
      <alignment horizontal="center"/>
    </xf>
    <xf numFmtId="0" fontId="85" fillId="33" borderId="10" xfId="0" applyFont="1" applyFill="1" applyBorder="1" applyAlignment="1">
      <alignment horizontal="center"/>
    </xf>
    <xf numFmtId="0" fontId="85" fillId="33" borderId="14" xfId="0" applyFont="1" applyFill="1" applyBorder="1" applyAlignment="1">
      <alignment horizontal="center"/>
    </xf>
    <xf numFmtId="0" fontId="83" fillId="33" borderId="14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55" fillId="33" borderId="24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47" fillId="33" borderId="1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/>
    </xf>
    <xf numFmtId="0" fontId="117" fillId="33" borderId="10" xfId="0" applyFont="1" applyFill="1" applyBorder="1" applyAlignment="1">
      <alignment horizontal="center"/>
    </xf>
    <xf numFmtId="0" fontId="113" fillId="33" borderId="16" xfId="0" applyFont="1" applyFill="1" applyBorder="1" applyAlignment="1">
      <alignment horizontal="center"/>
    </xf>
    <xf numFmtId="0" fontId="113" fillId="33" borderId="24" xfId="0" applyFont="1" applyFill="1" applyBorder="1" applyAlignment="1">
      <alignment horizontal="center"/>
    </xf>
    <xf numFmtId="0" fontId="106" fillId="33" borderId="15" xfId="0" applyFont="1" applyFill="1" applyBorder="1" applyAlignment="1">
      <alignment horizontal="center"/>
    </xf>
    <xf numFmtId="0" fontId="106" fillId="33" borderId="16" xfId="0" applyFont="1" applyFill="1" applyBorder="1" applyAlignment="1">
      <alignment horizontal="center"/>
    </xf>
    <xf numFmtId="0" fontId="106" fillId="33" borderId="24" xfId="0" applyFont="1" applyFill="1" applyBorder="1" applyAlignment="1">
      <alignment horizontal="center"/>
    </xf>
    <xf numFmtId="0" fontId="108" fillId="33" borderId="14" xfId="0" applyFont="1" applyFill="1" applyBorder="1" applyAlignment="1">
      <alignment/>
    </xf>
    <xf numFmtId="0" fontId="108" fillId="33" borderId="0" xfId="0" applyFont="1" applyFill="1" applyBorder="1" applyAlignment="1">
      <alignment/>
    </xf>
    <xf numFmtId="0" fontId="108" fillId="33" borderId="10" xfId="0" applyFont="1" applyFill="1" applyBorder="1" applyAlignment="1">
      <alignment/>
    </xf>
    <xf numFmtId="0" fontId="122" fillId="33" borderId="0" xfId="0" applyFont="1" applyFill="1" applyBorder="1" applyAlignment="1">
      <alignment horizontal="left" vertical="center" wrapText="1"/>
    </xf>
    <xf numFmtId="0" fontId="122" fillId="33" borderId="10" xfId="0" applyFont="1" applyFill="1" applyBorder="1" applyAlignment="1">
      <alignment horizontal="left" vertical="center" wrapText="1"/>
    </xf>
    <xf numFmtId="171" fontId="117" fillId="33" borderId="0" xfId="0" applyNumberFormat="1" applyFont="1" applyFill="1" applyBorder="1" applyAlignment="1">
      <alignment horizontal="center"/>
    </xf>
    <xf numFmtId="0" fontId="113" fillId="33" borderId="0" xfId="0" applyFont="1" applyFill="1" applyBorder="1" applyAlignment="1">
      <alignment horizontal="center"/>
    </xf>
    <xf numFmtId="0" fontId="113" fillId="33" borderId="10" xfId="0" applyFont="1" applyFill="1" applyBorder="1" applyAlignment="1">
      <alignment horizontal="center"/>
    </xf>
    <xf numFmtId="0" fontId="108" fillId="33" borderId="14" xfId="0" applyFont="1" applyFill="1" applyBorder="1" applyAlignment="1">
      <alignment horizontal="center"/>
    </xf>
    <xf numFmtId="0" fontId="108" fillId="33" borderId="0" xfId="0" applyFont="1" applyFill="1" applyBorder="1" applyAlignment="1">
      <alignment horizontal="center"/>
    </xf>
    <xf numFmtId="0" fontId="108" fillId="33" borderId="10" xfId="0" applyFont="1" applyFill="1" applyBorder="1" applyAlignment="1">
      <alignment horizontal="center"/>
    </xf>
    <xf numFmtId="0" fontId="107" fillId="33" borderId="14" xfId="0" applyFont="1" applyFill="1" applyBorder="1" applyAlignment="1">
      <alignment horizontal="center"/>
    </xf>
    <xf numFmtId="0" fontId="107" fillId="33" borderId="0" xfId="0" applyFont="1" applyFill="1" applyBorder="1" applyAlignment="1">
      <alignment horizontal="center"/>
    </xf>
    <xf numFmtId="0" fontId="107" fillId="33" borderId="10" xfId="0" applyFont="1" applyFill="1" applyBorder="1" applyAlignment="1">
      <alignment horizontal="center"/>
    </xf>
    <xf numFmtId="0" fontId="107" fillId="33" borderId="12" xfId="0" applyFont="1" applyFill="1" applyBorder="1" applyAlignment="1">
      <alignment horizontal="center"/>
    </xf>
    <xf numFmtId="0" fontId="107" fillId="33" borderId="13" xfId="0" applyFont="1" applyFill="1" applyBorder="1" applyAlignment="1">
      <alignment horizontal="center"/>
    </xf>
    <xf numFmtId="0" fontId="107" fillId="33" borderId="17" xfId="0" applyFont="1" applyFill="1" applyBorder="1" applyAlignment="1">
      <alignment horizontal="center"/>
    </xf>
    <xf numFmtId="0" fontId="107" fillId="33" borderId="23" xfId="0" applyFont="1" applyFill="1" applyBorder="1" applyAlignment="1">
      <alignment horizontal="center"/>
    </xf>
    <xf numFmtId="0" fontId="107" fillId="33" borderId="25" xfId="0" applyFont="1" applyFill="1" applyBorder="1" applyAlignment="1">
      <alignment horizontal="center"/>
    </xf>
    <xf numFmtId="0" fontId="107" fillId="33" borderId="22" xfId="0" applyFont="1" applyFill="1" applyBorder="1" applyAlignment="1">
      <alignment horizontal="center"/>
    </xf>
    <xf numFmtId="0" fontId="107" fillId="33" borderId="19" xfId="0" applyFont="1" applyFill="1" applyBorder="1" applyAlignment="1">
      <alignment horizontal="center" vertical="center"/>
    </xf>
    <xf numFmtId="0" fontId="107" fillId="33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71" fontId="108" fillId="33" borderId="19" xfId="42" applyFont="1" applyFill="1" applyBorder="1" applyAlignment="1">
      <alignment/>
    </xf>
    <xf numFmtId="171" fontId="108" fillId="33" borderId="18" xfId="42" applyFont="1" applyFill="1" applyBorder="1" applyAlignment="1">
      <alignment/>
    </xf>
    <xf numFmtId="171" fontId="108" fillId="33" borderId="19" xfId="0" applyNumberFormat="1" applyFont="1" applyFill="1" applyBorder="1" applyAlignment="1">
      <alignment/>
    </xf>
    <xf numFmtId="171" fontId="108" fillId="33" borderId="18" xfId="0" applyNumberFormat="1" applyFont="1" applyFill="1" applyBorder="1" applyAlignment="1">
      <alignment/>
    </xf>
    <xf numFmtId="171" fontId="11" fillId="33" borderId="19" xfId="0" applyNumberFormat="1" applyFont="1" applyFill="1" applyBorder="1" applyAlignment="1">
      <alignment/>
    </xf>
    <xf numFmtId="171" fontId="11" fillId="33" borderId="18" xfId="0" applyNumberFormat="1" applyFont="1" applyFill="1" applyBorder="1" applyAlignment="1">
      <alignment/>
    </xf>
    <xf numFmtId="0" fontId="113" fillId="33" borderId="14" xfId="0" applyFont="1" applyFill="1" applyBorder="1" applyAlignment="1">
      <alignment horizontal="left"/>
    </xf>
    <xf numFmtId="0" fontId="113" fillId="33" borderId="0" xfId="0" applyFont="1" applyFill="1" applyBorder="1" applyAlignment="1">
      <alignment horizontal="left"/>
    </xf>
    <xf numFmtId="171" fontId="108" fillId="33" borderId="11" xfId="42" applyFont="1" applyFill="1" applyBorder="1" applyAlignment="1">
      <alignment/>
    </xf>
    <xf numFmtId="171" fontId="108" fillId="33" borderId="11" xfId="0" applyNumberFormat="1" applyFont="1" applyFill="1" applyBorder="1" applyAlignment="1">
      <alignment/>
    </xf>
    <xf numFmtId="171" fontId="11" fillId="33" borderId="11" xfId="0" applyNumberFormat="1" applyFont="1" applyFill="1" applyBorder="1" applyAlignment="1">
      <alignment/>
    </xf>
    <xf numFmtId="171" fontId="108" fillId="33" borderId="19" xfId="42" applyFont="1" applyFill="1" applyBorder="1" applyAlignment="1">
      <alignment horizontal="center"/>
    </xf>
    <xf numFmtId="171" fontId="108" fillId="33" borderId="18" xfId="42" applyFont="1" applyFill="1" applyBorder="1" applyAlignment="1">
      <alignment horizontal="center"/>
    </xf>
    <xf numFmtId="171" fontId="108" fillId="33" borderId="19" xfId="0" applyNumberFormat="1" applyFont="1" applyFill="1" applyBorder="1" applyAlignment="1">
      <alignment horizontal="center"/>
    </xf>
    <xf numFmtId="171" fontId="108" fillId="33" borderId="18" xfId="0" applyNumberFormat="1" applyFont="1" applyFill="1" applyBorder="1" applyAlignment="1">
      <alignment horizontal="center"/>
    </xf>
    <xf numFmtId="171" fontId="11" fillId="33" borderId="19" xfId="0" applyNumberFormat="1" applyFont="1" applyFill="1" applyBorder="1" applyAlignment="1">
      <alignment horizontal="center"/>
    </xf>
    <xf numFmtId="171" fontId="11" fillId="33" borderId="18" xfId="0" applyNumberFormat="1" applyFont="1" applyFill="1" applyBorder="1" applyAlignment="1">
      <alignment horizontal="center"/>
    </xf>
    <xf numFmtId="0" fontId="113" fillId="33" borderId="15" xfId="0" applyFont="1" applyFill="1" applyBorder="1" applyAlignment="1">
      <alignment horizontal="left"/>
    </xf>
    <xf numFmtId="0" fontId="113" fillId="33" borderId="16" xfId="0" applyFont="1" applyFill="1" applyBorder="1" applyAlignment="1">
      <alignment horizontal="left"/>
    </xf>
    <xf numFmtId="171" fontId="113" fillId="33" borderId="0" xfId="0" applyNumberFormat="1" applyFont="1" applyFill="1" applyBorder="1" applyAlignment="1">
      <alignment horizontal="center"/>
    </xf>
    <xf numFmtId="171" fontId="108" fillId="33" borderId="12" xfId="42" applyFont="1" applyFill="1" applyBorder="1" applyAlignment="1">
      <alignment/>
    </xf>
    <xf numFmtId="171" fontId="108" fillId="33" borderId="15" xfId="42" applyFont="1" applyFill="1" applyBorder="1" applyAlignment="1">
      <alignment/>
    </xf>
    <xf numFmtId="171" fontId="108" fillId="33" borderId="12" xfId="0" applyNumberFormat="1" applyFont="1" applyFill="1" applyBorder="1" applyAlignment="1">
      <alignment/>
    </xf>
    <xf numFmtId="171" fontId="108" fillId="33" borderId="15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891"/>
  <sheetViews>
    <sheetView view="pageBreakPreview" zoomScale="95" zoomScaleNormal="63" zoomScaleSheetLayoutView="95" zoomScalePageLayoutView="0" workbookViewId="0" topLeftCell="D863">
      <selection activeCell="G73" sqref="G73"/>
    </sheetView>
  </sheetViews>
  <sheetFormatPr defaultColWidth="9.140625" defaultRowHeight="12.75"/>
  <cols>
    <col min="1" max="1" width="4.00390625" style="247" customWidth="1"/>
    <col min="2" max="2" width="4.28125" style="247" customWidth="1"/>
    <col min="3" max="3" width="43.7109375" style="247" customWidth="1"/>
    <col min="4" max="4" width="6.00390625" style="247" customWidth="1"/>
    <col min="5" max="5" width="8.421875" style="247" customWidth="1"/>
    <col min="6" max="6" width="24.00390625" style="247" customWidth="1"/>
    <col min="7" max="7" width="22.28125" style="247" customWidth="1"/>
    <col min="8" max="8" width="23.28125" style="247" customWidth="1"/>
    <col min="9" max="9" width="23.57421875" style="247" customWidth="1"/>
    <col min="10" max="10" width="27.57421875" style="247" customWidth="1"/>
    <col min="11" max="11" width="17.57421875" style="15" customWidth="1"/>
    <col min="12" max="12" width="13.00390625" style="237" bestFit="1" customWidth="1"/>
    <col min="13" max="13" width="9.140625" style="237" customWidth="1"/>
    <col min="14" max="14" width="14.140625" style="237" bestFit="1" customWidth="1"/>
    <col min="15" max="16384" width="9.140625" style="237" customWidth="1"/>
  </cols>
  <sheetData>
    <row r="1" spans="1:10" ht="20.25">
      <c r="A1" s="20" t="s">
        <v>2</v>
      </c>
      <c r="B1" s="21"/>
      <c r="C1" s="22"/>
      <c r="D1" s="22"/>
      <c r="E1" s="22"/>
      <c r="F1" s="22"/>
      <c r="G1" s="23"/>
      <c r="H1" s="23"/>
      <c r="I1" s="23"/>
      <c r="J1" s="261"/>
    </row>
    <row r="2" spans="1:10" ht="12.75">
      <c r="A2" s="24"/>
      <c r="B2" s="25"/>
      <c r="C2" s="25"/>
      <c r="D2" s="25"/>
      <c r="E2" s="25"/>
      <c r="F2" s="25"/>
      <c r="G2" s="26"/>
      <c r="H2" s="26"/>
      <c r="I2" s="26"/>
      <c r="J2" s="27"/>
    </row>
    <row r="3" spans="1:10" ht="12.75">
      <c r="A3" s="24"/>
      <c r="B3" s="25"/>
      <c r="C3" s="25"/>
      <c r="D3" s="25"/>
      <c r="E3" s="25"/>
      <c r="F3" s="25"/>
      <c r="G3" s="26"/>
      <c r="H3" s="26"/>
      <c r="I3" s="26"/>
      <c r="J3" s="27"/>
    </row>
    <row r="4" spans="1:10" ht="22.5">
      <c r="A4" s="1049" t="s">
        <v>273</v>
      </c>
      <c r="B4" s="1050"/>
      <c r="C4" s="1050"/>
      <c r="D4" s="1050"/>
      <c r="E4" s="1050"/>
      <c r="F4" s="1050"/>
      <c r="G4" s="1050"/>
      <c r="H4" s="1050"/>
      <c r="I4" s="1050"/>
      <c r="J4" s="1051"/>
    </row>
    <row r="5" spans="1:10" ht="20.25">
      <c r="A5" s="1052" t="s">
        <v>274</v>
      </c>
      <c r="B5" s="1053"/>
      <c r="C5" s="1053"/>
      <c r="D5" s="1053"/>
      <c r="E5" s="1053"/>
      <c r="F5" s="1053"/>
      <c r="G5" s="1053"/>
      <c r="H5" s="1053"/>
      <c r="I5" s="1053"/>
      <c r="J5" s="1054"/>
    </row>
    <row r="6" spans="1:10" ht="20.25">
      <c r="A6" s="1034" t="s">
        <v>3</v>
      </c>
      <c r="B6" s="1030"/>
      <c r="C6" s="1030"/>
      <c r="D6" s="1030"/>
      <c r="E6" s="1030"/>
      <c r="F6" s="1030"/>
      <c r="G6" s="1030"/>
      <c r="H6" s="1030"/>
      <c r="I6" s="1030"/>
      <c r="J6" s="1031"/>
    </row>
    <row r="7" spans="1:10" ht="20.25">
      <c r="A7" s="382"/>
      <c r="B7" s="383"/>
      <c r="C7" s="383"/>
      <c r="D7" s="383"/>
      <c r="E7" s="383"/>
      <c r="F7" s="709"/>
      <c r="G7" s="383"/>
      <c r="H7" s="383"/>
      <c r="I7" s="399"/>
      <c r="J7" s="922"/>
    </row>
    <row r="8" spans="1:10" ht="19.5" customHeight="1">
      <c r="A8" s="28"/>
      <c r="B8" s="29"/>
      <c r="C8" s="29"/>
      <c r="D8" s="30"/>
      <c r="E8" s="30"/>
      <c r="F8" s="30"/>
      <c r="G8" s="30"/>
      <c r="H8" s="30"/>
      <c r="I8" s="30"/>
      <c r="J8" s="925"/>
    </row>
    <row r="9" spans="1:10" ht="20.25">
      <c r="A9" s="375"/>
      <c r="B9" s="22"/>
      <c r="C9" s="261"/>
      <c r="D9" s="32"/>
      <c r="E9" s="32"/>
      <c r="F9" s="376"/>
      <c r="G9" s="1035" t="s">
        <v>4</v>
      </c>
      <c r="H9" s="1036"/>
      <c r="I9" s="1036"/>
      <c r="J9" s="926"/>
    </row>
    <row r="10" spans="1:10" ht="30" customHeight="1">
      <c r="A10" s="33"/>
      <c r="B10" s="34"/>
      <c r="C10" s="34"/>
      <c r="D10" s="35" t="s">
        <v>5</v>
      </c>
      <c r="E10" s="36" t="s">
        <v>6</v>
      </c>
      <c r="F10" s="715" t="s">
        <v>7</v>
      </c>
      <c r="G10" s="360" t="s">
        <v>8</v>
      </c>
      <c r="H10" s="37" t="s">
        <v>9</v>
      </c>
      <c r="I10" s="1089" t="s">
        <v>1</v>
      </c>
      <c r="J10" s="927" t="s">
        <v>10</v>
      </c>
    </row>
    <row r="11" spans="1:10" ht="30.75" customHeight="1">
      <c r="A11" s="1049" t="s">
        <v>11</v>
      </c>
      <c r="B11" s="1050"/>
      <c r="C11" s="1051"/>
      <c r="D11" s="38" t="s">
        <v>12</v>
      </c>
      <c r="E11" s="38" t="s">
        <v>13</v>
      </c>
      <c r="F11" s="39" t="s">
        <v>14</v>
      </c>
      <c r="G11" s="40" t="s">
        <v>14</v>
      </c>
      <c r="H11" s="39" t="s">
        <v>15</v>
      </c>
      <c r="I11" s="1090"/>
      <c r="J11" s="927">
        <v>2021</v>
      </c>
    </row>
    <row r="12" spans="1:10" ht="15">
      <c r="A12" s="33"/>
      <c r="B12" s="34"/>
      <c r="C12" s="41"/>
      <c r="D12" s="42"/>
      <c r="E12" s="40"/>
      <c r="F12" s="39">
        <v>2019</v>
      </c>
      <c r="G12" s="39">
        <v>2020</v>
      </c>
      <c r="H12" s="39">
        <v>2020</v>
      </c>
      <c r="I12" s="42">
        <v>2020</v>
      </c>
      <c r="J12" s="40"/>
    </row>
    <row r="13" spans="1:10" ht="15">
      <c r="A13" s="1037">
        <v>-1</v>
      </c>
      <c r="B13" s="1038"/>
      <c r="C13" s="1039"/>
      <c r="D13" s="358">
        <v>-2</v>
      </c>
      <c r="E13" s="358">
        <v>-3</v>
      </c>
      <c r="F13" s="711">
        <v>-4</v>
      </c>
      <c r="G13" s="43">
        <v>-5</v>
      </c>
      <c r="H13" s="43">
        <v>-6</v>
      </c>
      <c r="I13" s="401">
        <v>-7</v>
      </c>
      <c r="J13" s="43">
        <v>-8</v>
      </c>
    </row>
    <row r="14" spans="1:10" ht="17.25">
      <c r="A14" s="44" t="s">
        <v>16</v>
      </c>
      <c r="B14" s="45"/>
      <c r="C14" s="46"/>
      <c r="D14" s="47"/>
      <c r="E14" s="48"/>
      <c r="F14" s="47"/>
      <c r="G14" s="47"/>
      <c r="H14" s="384"/>
      <c r="I14" s="368"/>
      <c r="J14" s="928"/>
    </row>
    <row r="15" spans="1:10" ht="17.25">
      <c r="A15" s="49" t="s">
        <v>17</v>
      </c>
      <c r="B15" s="50"/>
      <c r="C15" s="51"/>
      <c r="D15" s="52"/>
      <c r="E15" s="48"/>
      <c r="F15" s="53"/>
      <c r="G15" s="262"/>
      <c r="H15" s="390"/>
      <c r="I15" s="53"/>
      <c r="J15" s="929"/>
    </row>
    <row r="16" spans="1:10" ht="17.25">
      <c r="A16" s="49"/>
      <c r="B16" s="369" t="s">
        <v>432</v>
      </c>
      <c r="C16" s="370"/>
      <c r="D16" s="52"/>
      <c r="E16" s="48"/>
      <c r="F16" s="371">
        <f>SUM(F15:F15)</f>
        <v>0</v>
      </c>
      <c r="G16" s="371"/>
      <c r="H16" s="371">
        <f>SUM(H14:H15)</f>
        <v>0</v>
      </c>
      <c r="I16" s="372">
        <f>SUM(I14:I15)</f>
        <v>0</v>
      </c>
      <c r="J16" s="930"/>
    </row>
    <row r="17" spans="1:10" ht="17.25">
      <c r="A17" s="49"/>
      <c r="B17" s="369"/>
      <c r="C17" s="370"/>
      <c r="D17" s="52"/>
      <c r="E17" s="48"/>
      <c r="F17" s="385"/>
      <c r="G17" s="386"/>
      <c r="H17" s="385"/>
      <c r="I17" s="386"/>
      <c r="J17" s="931"/>
    </row>
    <row r="18" spans="1:10" ht="18.75">
      <c r="A18" s="49" t="s">
        <v>18</v>
      </c>
      <c r="B18" s="50"/>
      <c r="C18" s="51"/>
      <c r="D18" s="54"/>
      <c r="E18" s="54"/>
      <c r="F18" s="62"/>
      <c r="G18" s="56"/>
      <c r="H18" s="57"/>
      <c r="I18" s="56"/>
      <c r="J18" s="932"/>
    </row>
    <row r="19" spans="1:10" ht="18.75">
      <c r="A19" s="49" t="s">
        <v>19</v>
      </c>
      <c r="B19" s="50"/>
      <c r="C19" s="51"/>
      <c r="D19" s="54"/>
      <c r="E19" s="54"/>
      <c r="F19" s="62"/>
      <c r="G19" s="56"/>
      <c r="H19" s="57"/>
      <c r="I19" s="56"/>
      <c r="J19" s="932"/>
    </row>
    <row r="20" spans="1:10" ht="18.75">
      <c r="A20" s="58" t="s">
        <v>20</v>
      </c>
      <c r="B20" s="59"/>
      <c r="C20" s="60"/>
      <c r="D20" s="54"/>
      <c r="E20" s="41"/>
      <c r="F20" s="60"/>
      <c r="G20" s="60"/>
      <c r="H20" s="55"/>
      <c r="I20" s="60"/>
      <c r="J20" s="932"/>
    </row>
    <row r="21" spans="1:10" ht="18.75">
      <c r="A21" s="61" t="s">
        <v>21</v>
      </c>
      <c r="B21" s="59"/>
      <c r="C21" s="60"/>
      <c r="D21" s="40"/>
      <c r="E21" s="40"/>
      <c r="F21" s="62">
        <v>2951441.12</v>
      </c>
      <c r="G21" s="62">
        <v>2668756.07</v>
      </c>
      <c r="H21" s="62">
        <f>SUM(I21-G21)</f>
        <v>1081243.9300000002</v>
      </c>
      <c r="I21" s="63">
        <v>3750000</v>
      </c>
      <c r="J21" s="63">
        <v>3750000</v>
      </c>
    </row>
    <row r="22" spans="1:10" ht="18.75">
      <c r="A22" s="61" t="s">
        <v>22</v>
      </c>
      <c r="B22" s="59"/>
      <c r="C22" s="60"/>
      <c r="D22" s="40"/>
      <c r="E22" s="40"/>
      <c r="F22" s="62"/>
      <c r="G22" s="62"/>
      <c r="H22" s="62"/>
      <c r="I22" s="63"/>
      <c r="J22" s="63"/>
    </row>
    <row r="23" spans="1:10" ht="18.75">
      <c r="A23" s="61" t="s">
        <v>23</v>
      </c>
      <c r="B23" s="59"/>
      <c r="C23" s="60"/>
      <c r="D23" s="40"/>
      <c r="E23" s="40"/>
      <c r="F23" s="62">
        <f>886550.58+13930113+340147.2</f>
        <v>15156810.78</v>
      </c>
      <c r="G23" s="62">
        <f>684490.77+10405519.57+199277.18</f>
        <v>11289287.52</v>
      </c>
      <c r="H23" s="62">
        <f>SUM(I23-G23)</f>
        <v>-1289287.5199999996</v>
      </c>
      <c r="I23" s="63">
        <v>10000000</v>
      </c>
      <c r="J23" s="63">
        <v>12000000</v>
      </c>
    </row>
    <row r="24" spans="1:10" ht="18.75">
      <c r="A24" s="64" t="s">
        <v>24</v>
      </c>
      <c r="B24" s="65"/>
      <c r="C24" s="66"/>
      <c r="D24" s="67"/>
      <c r="E24" s="67"/>
      <c r="F24" s="68">
        <f>SUM(F21:F23)</f>
        <v>18108251.9</v>
      </c>
      <c r="G24" s="68">
        <f>SUM(G21:G23)</f>
        <v>13958043.59</v>
      </c>
      <c r="H24" s="68">
        <f>SUM(H21:H23)</f>
        <v>-208043.58999999939</v>
      </c>
      <c r="I24" s="68">
        <f>SUM(I21:I23)</f>
        <v>13750000</v>
      </c>
      <c r="J24" s="933">
        <f>SUM(J21:J23)</f>
        <v>15750000</v>
      </c>
    </row>
    <row r="25" spans="1:10" ht="18.75">
      <c r="A25" s="58"/>
      <c r="B25" s="59"/>
      <c r="C25" s="60"/>
      <c r="D25" s="54"/>
      <c r="E25" s="34"/>
      <c r="F25" s="55"/>
      <c r="G25" s="62"/>
      <c r="H25" s="62"/>
      <c r="I25" s="69"/>
      <c r="J25" s="63"/>
    </row>
    <row r="26" spans="1:10" ht="18.75">
      <c r="A26" s="61" t="s">
        <v>25</v>
      </c>
      <c r="B26" s="59"/>
      <c r="C26" s="60"/>
      <c r="D26" s="40"/>
      <c r="E26" s="42"/>
      <c r="F26" s="37"/>
      <c r="G26" s="62"/>
      <c r="H26" s="62"/>
      <c r="I26" s="69"/>
      <c r="J26" s="63"/>
    </row>
    <row r="27" spans="1:10" ht="18.75">
      <c r="A27" s="61" t="s">
        <v>26</v>
      </c>
      <c r="B27" s="59"/>
      <c r="C27" s="60"/>
      <c r="D27" s="40"/>
      <c r="E27" s="42"/>
      <c r="F27" s="37"/>
      <c r="G27" s="62"/>
      <c r="H27" s="62"/>
      <c r="I27" s="69"/>
      <c r="J27" s="63"/>
    </row>
    <row r="28" spans="1:10" ht="18.75">
      <c r="A28" s="61" t="s">
        <v>27</v>
      </c>
      <c r="B28" s="59"/>
      <c r="C28" s="60"/>
      <c r="D28" s="40"/>
      <c r="E28" s="40"/>
      <c r="F28" s="62"/>
      <c r="G28" s="62"/>
      <c r="H28" s="62"/>
      <c r="I28" s="69"/>
      <c r="J28" s="63"/>
    </row>
    <row r="29" spans="1:10" ht="18.75">
      <c r="A29" s="61" t="s">
        <v>28</v>
      </c>
      <c r="B29" s="59"/>
      <c r="C29" s="60"/>
      <c r="D29" s="40"/>
      <c r="E29" s="40"/>
      <c r="F29" s="62">
        <v>3156542.64</v>
      </c>
      <c r="G29" s="62">
        <v>2252043.65</v>
      </c>
      <c r="H29" s="62">
        <f>SUM(I29-G29)</f>
        <v>47956.35000000009</v>
      </c>
      <c r="I29" s="63">
        <v>2300000</v>
      </c>
      <c r="J29" s="63">
        <v>2300000</v>
      </c>
    </row>
    <row r="30" spans="1:10" ht="18.75">
      <c r="A30" s="61" t="s">
        <v>29</v>
      </c>
      <c r="B30" s="59"/>
      <c r="C30" s="60"/>
      <c r="D30" s="40"/>
      <c r="E30" s="40"/>
      <c r="F30" s="62">
        <f>750+95412.14+218312.63</f>
        <v>314474.77</v>
      </c>
      <c r="G30" s="62">
        <f>4598.13+12870+125035.79</f>
        <v>142503.91999999998</v>
      </c>
      <c r="H30" s="62">
        <f>SUM(I30-G30)</f>
        <v>1752496.08</v>
      </c>
      <c r="I30" s="63">
        <v>1895000</v>
      </c>
      <c r="J30" s="63">
        <v>1895000</v>
      </c>
    </row>
    <row r="31" spans="1:10" ht="18.75">
      <c r="A31" s="61" t="s">
        <v>30</v>
      </c>
      <c r="B31" s="59"/>
      <c r="C31" s="60"/>
      <c r="D31" s="40"/>
      <c r="E31" s="40"/>
      <c r="F31" s="62">
        <f>146376.5+172450.08+2238925.12+509830+141521.7+981582.5+1681580+3228.65+255299.11+571859.95+700+61750.19</f>
        <v>6765103.800000002</v>
      </c>
      <c r="G31" s="70">
        <f>105818.65+87430.5+1861478.43+627518.38+58575.04+6157.5+916027.04+1106193.94+45317+139752.74+655832.78+214820.45+4932.36</f>
        <v>5829854.810000001</v>
      </c>
      <c r="H31" s="62">
        <f>SUM(I31-G31)</f>
        <v>4710145.189999999</v>
      </c>
      <c r="I31" s="63">
        <v>10540000</v>
      </c>
      <c r="J31" s="63">
        <v>8540000</v>
      </c>
    </row>
    <row r="32" spans="1:10" ht="18.75">
      <c r="A32" s="61" t="s">
        <v>31</v>
      </c>
      <c r="B32" s="59"/>
      <c r="C32" s="60"/>
      <c r="D32" s="40"/>
      <c r="E32" s="40"/>
      <c r="F32" s="62">
        <v>1344590.86</v>
      </c>
      <c r="G32" s="70">
        <v>370677.91</v>
      </c>
      <c r="H32" s="62">
        <f>SUM(I32-G32)</f>
        <v>3279322.09</v>
      </c>
      <c r="I32" s="63">
        <v>3650000</v>
      </c>
      <c r="J32" s="63">
        <v>3650000</v>
      </c>
    </row>
    <row r="33" spans="1:10" ht="21" customHeight="1">
      <c r="A33" s="71" t="s">
        <v>32</v>
      </c>
      <c r="B33" s="65"/>
      <c r="C33" s="66"/>
      <c r="D33" s="72"/>
      <c r="E33" s="72"/>
      <c r="F33" s="68">
        <f>SUM(F29:F32)</f>
        <v>11580712.07</v>
      </c>
      <c r="G33" s="68">
        <f>SUM(G29:G32)</f>
        <v>8595080.290000001</v>
      </c>
      <c r="H33" s="68">
        <f>SUM(H29:H32)</f>
        <v>9789919.709999999</v>
      </c>
      <c r="I33" s="68">
        <f>SUM(I29:I32)</f>
        <v>18385000</v>
      </c>
      <c r="J33" s="68">
        <f>SUM(J29:J32)</f>
        <v>16385000</v>
      </c>
    </row>
    <row r="34" spans="1:10" ht="18.75">
      <c r="A34" s="58"/>
      <c r="B34" s="59"/>
      <c r="C34" s="60"/>
      <c r="D34" s="73"/>
      <c r="E34" s="73"/>
      <c r="F34" s="37"/>
      <c r="G34" s="62"/>
      <c r="H34" s="62"/>
      <c r="I34" s="69"/>
      <c r="J34" s="63"/>
    </row>
    <row r="35" spans="1:10" ht="18.75">
      <c r="A35" s="49" t="s">
        <v>33</v>
      </c>
      <c r="B35" s="50"/>
      <c r="C35" s="51"/>
      <c r="D35" s="73"/>
      <c r="E35" s="73"/>
      <c r="F35" s="37"/>
      <c r="G35" s="62"/>
      <c r="H35" s="62"/>
      <c r="I35" s="69"/>
      <c r="J35" s="63"/>
    </row>
    <row r="36" spans="1:10" ht="18.75">
      <c r="A36" s="74" t="s">
        <v>34</v>
      </c>
      <c r="B36" s="75"/>
      <c r="C36" s="76"/>
      <c r="D36" s="39"/>
      <c r="E36" s="39"/>
      <c r="F36" s="62">
        <v>208481526</v>
      </c>
      <c r="G36" s="62">
        <v>93840360</v>
      </c>
      <c r="H36" s="62">
        <f>I36-G36</f>
        <v>141230452</v>
      </c>
      <c r="I36" s="63">
        <v>235070812</v>
      </c>
      <c r="J36" s="63">
        <v>251437631</v>
      </c>
    </row>
    <row r="37" spans="1:10" ht="18.75">
      <c r="A37" s="55" t="s">
        <v>35</v>
      </c>
      <c r="B37" s="75"/>
      <c r="C37" s="60"/>
      <c r="D37" s="39"/>
      <c r="E37" s="39"/>
      <c r="F37" s="62">
        <v>132010.27</v>
      </c>
      <c r="G37" s="62">
        <v>21639.8</v>
      </c>
      <c r="H37" s="62">
        <f>I37-G37</f>
        <v>-21639.8</v>
      </c>
      <c r="I37" s="63"/>
      <c r="J37" s="63"/>
    </row>
    <row r="38" spans="1:10" ht="18.75">
      <c r="A38" s="55" t="s">
        <v>36</v>
      </c>
      <c r="B38" s="75"/>
      <c r="C38" s="60"/>
      <c r="D38" s="42"/>
      <c r="E38" s="40"/>
      <c r="F38" s="37"/>
      <c r="G38" s="62"/>
      <c r="H38" s="62"/>
      <c r="I38" s="63"/>
      <c r="J38" s="63"/>
    </row>
    <row r="39" spans="1:10" ht="18.75">
      <c r="A39" s="55" t="s">
        <v>37</v>
      </c>
      <c r="B39" s="75"/>
      <c r="C39" s="60"/>
      <c r="D39" s="42"/>
      <c r="E39" s="40"/>
      <c r="F39" s="263"/>
      <c r="G39" s="62"/>
      <c r="H39" s="62"/>
      <c r="I39" s="63"/>
      <c r="J39" s="63"/>
    </row>
    <row r="40" spans="1:10" ht="18.75">
      <c r="A40" s="55" t="s">
        <v>38</v>
      </c>
      <c r="B40" s="75"/>
      <c r="C40" s="60"/>
      <c r="D40" s="42"/>
      <c r="E40" s="40"/>
      <c r="F40" s="263"/>
      <c r="G40" s="62">
        <v>1000</v>
      </c>
      <c r="H40" s="62">
        <f>I40-G40</f>
        <v>-1000</v>
      </c>
      <c r="I40" s="63"/>
      <c r="J40" s="63"/>
    </row>
    <row r="41" spans="1:10" ht="18.75">
      <c r="A41" s="55" t="s">
        <v>39</v>
      </c>
      <c r="B41" s="75"/>
      <c r="C41" s="60"/>
      <c r="D41" s="42"/>
      <c r="E41" s="40"/>
      <c r="F41" s="37"/>
      <c r="G41" s="77"/>
      <c r="H41" s="62"/>
      <c r="I41" s="63"/>
      <c r="J41" s="63"/>
    </row>
    <row r="42" spans="1:10" ht="18.75">
      <c r="A42" s="55" t="s">
        <v>40</v>
      </c>
      <c r="B42" s="75"/>
      <c r="C42" s="60"/>
      <c r="D42" s="42"/>
      <c r="E42" s="40"/>
      <c r="F42" s="62"/>
      <c r="G42" s="77"/>
      <c r="H42" s="62"/>
      <c r="I42" s="63"/>
      <c r="J42" s="63"/>
    </row>
    <row r="43" spans="1:10" ht="18.75">
      <c r="A43" s="55" t="s">
        <v>41</v>
      </c>
      <c r="B43" s="75"/>
      <c r="C43" s="60"/>
      <c r="D43" s="39"/>
      <c r="E43" s="39"/>
      <c r="F43" s="62"/>
      <c r="G43" s="62"/>
      <c r="H43" s="62"/>
      <c r="I43" s="78"/>
      <c r="J43" s="78"/>
    </row>
    <row r="44" spans="1:10" ht="18.75">
      <c r="A44" s="55" t="s">
        <v>42</v>
      </c>
      <c r="B44" s="75"/>
      <c r="C44" s="60"/>
      <c r="D44" s="39"/>
      <c r="E44" s="39"/>
      <c r="F44" s="62"/>
      <c r="G44" s="62"/>
      <c r="H44" s="62"/>
      <c r="I44" s="78"/>
      <c r="J44" s="78"/>
    </row>
    <row r="45" spans="1:10" ht="18.75">
      <c r="A45" s="55" t="s">
        <v>43</v>
      </c>
      <c r="B45" s="75"/>
      <c r="C45" s="60"/>
      <c r="D45" s="39"/>
      <c r="E45" s="39"/>
      <c r="F45" s="62"/>
      <c r="G45" s="62">
        <v>1997978.06</v>
      </c>
      <c r="H45" s="62">
        <f>I45-G45</f>
        <v>-1997978.06</v>
      </c>
      <c r="I45" s="78"/>
      <c r="J45" s="78"/>
    </row>
    <row r="46" spans="1:10" ht="18.75">
      <c r="A46" s="55" t="s">
        <v>44</v>
      </c>
      <c r="B46" s="75"/>
      <c r="C46" s="60"/>
      <c r="D46" s="39"/>
      <c r="E46" s="39"/>
      <c r="F46" s="62">
        <v>1220603.87</v>
      </c>
      <c r="G46" s="62">
        <v>21847903.69</v>
      </c>
      <c r="H46" s="62">
        <f>SUM(I46-G46)</f>
        <v>-21847903.69</v>
      </c>
      <c r="I46" s="79"/>
      <c r="J46" s="79"/>
    </row>
    <row r="47" spans="1:10" ht="18.75">
      <c r="A47" s="55" t="s">
        <v>45</v>
      </c>
      <c r="B47" s="75"/>
      <c r="C47" s="60"/>
      <c r="D47" s="39"/>
      <c r="E47" s="42"/>
      <c r="F47" s="37"/>
      <c r="G47" s="62"/>
      <c r="H47" s="62"/>
      <c r="I47" s="78"/>
      <c r="J47" s="78"/>
    </row>
    <row r="48" spans="1:10" ht="18.75">
      <c r="A48" s="55" t="s">
        <v>46</v>
      </c>
      <c r="B48" s="75"/>
      <c r="C48" s="60"/>
      <c r="D48" s="39"/>
      <c r="E48" s="42"/>
      <c r="F48" s="37"/>
      <c r="G48" s="62"/>
      <c r="H48" s="62"/>
      <c r="I48" s="78"/>
      <c r="J48" s="78"/>
    </row>
    <row r="49" spans="1:10" ht="18.75">
      <c r="A49" s="55" t="s">
        <v>47</v>
      </c>
      <c r="B49" s="75"/>
      <c r="C49" s="60"/>
      <c r="D49" s="39"/>
      <c r="E49" s="42"/>
      <c r="F49" s="37"/>
      <c r="G49" s="62"/>
      <c r="H49" s="62"/>
      <c r="I49" s="78"/>
      <c r="J49" s="78"/>
    </row>
    <row r="50" spans="1:10" ht="18.75">
      <c r="A50" s="61" t="s">
        <v>48</v>
      </c>
      <c r="B50" s="75"/>
      <c r="C50" s="60"/>
      <c r="D50" s="39"/>
      <c r="E50" s="42"/>
      <c r="F50" s="37"/>
      <c r="G50" s="62"/>
      <c r="H50" s="62"/>
      <c r="I50" s="78"/>
      <c r="J50" s="78"/>
    </row>
    <row r="51" spans="1:10" ht="18.75">
      <c r="A51" s="61"/>
      <c r="B51" s="75" t="s">
        <v>315</v>
      </c>
      <c r="C51" s="60"/>
      <c r="D51" s="39"/>
      <c r="E51" s="39"/>
      <c r="F51" s="37"/>
      <c r="G51" s="69"/>
      <c r="H51" s="62">
        <f>SUM(I51-G51)</f>
        <v>0</v>
      </c>
      <c r="I51" s="80"/>
      <c r="J51" s="80"/>
    </row>
    <row r="52" spans="1:10" ht="24.75" customHeight="1" thickBot="1">
      <c r="A52" s="71" t="s">
        <v>49</v>
      </c>
      <c r="B52" s="81"/>
      <c r="C52" s="66"/>
      <c r="D52" s="82"/>
      <c r="E52" s="82"/>
      <c r="F52" s="83">
        <f>F24+F33+F36+F37+F16+F46</f>
        <v>239523104.11</v>
      </c>
      <c r="G52" s="83">
        <f>SUM(G24+G33+G36+G37+G42+G45+G46+G43+G16+G40)</f>
        <v>140262005.43</v>
      </c>
      <c r="H52" s="83">
        <f>SUM(H24+H33+H36+H37+H42+H45+H46+H43+H16+H51+H40)</f>
        <v>126943806.57</v>
      </c>
      <c r="I52" s="83">
        <f>SUM(I24+I33+I36+I37+I42+I45+I46+I43+I16+I51)</f>
        <v>267205812</v>
      </c>
      <c r="J52" s="83">
        <f>SUM(J24+J33+J36+J37+J42+J45+J46+J43+J16)</f>
        <v>283572631</v>
      </c>
    </row>
    <row r="53" spans="1:10" ht="31.5" customHeight="1" thickBot="1">
      <c r="A53" s="71" t="s">
        <v>50</v>
      </c>
      <c r="B53" s="81"/>
      <c r="C53" s="66"/>
      <c r="D53" s="82"/>
      <c r="E53" s="84"/>
      <c r="F53" s="264">
        <f>SUM(F52)</f>
        <v>239523104.11</v>
      </c>
      <c r="G53" s="85">
        <f>SUM(G52)</f>
        <v>140262005.43</v>
      </c>
      <c r="H53" s="85">
        <f>SUM(H52)</f>
        <v>126943806.57</v>
      </c>
      <c r="I53" s="85">
        <f>SUM(I52)</f>
        <v>267205812</v>
      </c>
      <c r="J53" s="934">
        <f>J52</f>
        <v>283572631</v>
      </c>
    </row>
    <row r="54" spans="1:10" ht="31.5" customHeight="1">
      <c r="A54" s="71"/>
      <c r="B54" s="81"/>
      <c r="C54" s="66"/>
      <c r="D54" s="82"/>
      <c r="E54" s="84"/>
      <c r="F54" s="158"/>
      <c r="G54" s="388"/>
      <c r="H54" s="389"/>
      <c r="I54" s="265"/>
      <c r="J54" s="935"/>
    </row>
    <row r="55" spans="1:11" s="238" customFormat="1" ht="26.25" customHeight="1">
      <c r="A55" s="71" t="s">
        <v>51</v>
      </c>
      <c r="B55" s="81"/>
      <c r="C55" s="66"/>
      <c r="D55" s="82"/>
      <c r="E55" s="82"/>
      <c r="F55" s="265"/>
      <c r="G55" s="56"/>
      <c r="H55" s="853"/>
      <c r="I55" s="57"/>
      <c r="J55" s="936"/>
      <c r="K55" s="404"/>
    </row>
    <row r="56" spans="1:11" s="238" customFormat="1" ht="26.25" customHeight="1">
      <c r="A56" s="71"/>
      <c r="B56" s="81"/>
      <c r="C56" s="66"/>
      <c r="D56" s="82"/>
      <c r="E56" s="82"/>
      <c r="F56" s="265"/>
      <c r="G56" s="56"/>
      <c r="H56" s="75"/>
      <c r="I56" s="57"/>
      <c r="J56" s="936"/>
      <c r="K56" s="404"/>
    </row>
    <row r="57" spans="1:11" s="238" customFormat="1" ht="18.75">
      <c r="A57" s="71" t="s">
        <v>500</v>
      </c>
      <c r="B57" s="81"/>
      <c r="C57" s="66"/>
      <c r="D57" s="82"/>
      <c r="E57" s="82"/>
      <c r="F57" s="265"/>
      <c r="G57" s="56"/>
      <c r="H57" s="266"/>
      <c r="I57" s="57"/>
      <c r="J57" s="936"/>
      <c r="K57" s="404"/>
    </row>
    <row r="58" spans="1:11" s="238" customFormat="1" ht="17.25">
      <c r="A58" s="61"/>
      <c r="B58" s="267" t="s">
        <v>52</v>
      </c>
      <c r="C58" s="66"/>
      <c r="D58" s="82"/>
      <c r="E58" s="82"/>
      <c r="F58" s="263">
        <f>'Form 1a ABR Office'!E16+'Form 1a ABR Office'!E139+'Form 1a ABR Office'!E211+'Form 1a ABR Office'!E284+'Form 1a ABR Office'!E357+'Form 1a ABR Office'!E438+'Form 1a ABR Office'!E524+'Form 1a ABR Office'!E598+'Form 1a ABR Office'!E673+'Form 1a ABR Office'!E750+'Form 1a ABR Office'!E827+'Form 1a ABR Office'!E899+'Form 1a ABR Office'!E974+'Form 1a ABR Office'!E1064+'Form 1a ABR Office'!E1142+'Form 1a ABR Office'!E1233</f>
        <v>46493910.54</v>
      </c>
      <c r="G58" s="263">
        <f>'Form 1a ABR Office'!F16+'Form 1a ABR Office'!F139+'Form 1a ABR Office'!F211+'Form 1a ABR Office'!F284+'Form 1a ABR Office'!F357+'Form 1a ABR Office'!F438+'Form 1a ABR Office'!F524+'Form 1a ABR Office'!F598+'Form 1a ABR Office'!F673+'Form 1a ABR Office'!F750+'Form 1a ABR Office'!F827+'Form 1a ABR Office'!F899+'Form 1a ABR Office'!F974+'Form 1a ABR Office'!F1064+'Form 1a ABR Office'!F1142+'Form 1a ABR Office'!F1233</f>
        <v>23828456</v>
      </c>
      <c r="H58" s="263">
        <f>'Form 1a ABR Office'!G16+'Form 1a ABR Office'!G139+'Form 1a ABR Office'!G211+'Form 1a ABR Office'!G284+'Form 1a ABR Office'!G357+'Form 1a ABR Office'!G438+'Form 1a ABR Office'!G524+'Form 1a ABR Office'!G598+'Form 1a ABR Office'!G673+'Form 1a ABR Office'!G750+'Form 1a ABR Office'!G827+'Form 1a ABR Office'!G899+'Form 1a ABR Office'!G974+'Form 1a ABR Office'!G1064+'Form 1a ABR Office'!G1142+'Form 1a ABR Office'!G1233</f>
        <v>27181778</v>
      </c>
      <c r="I58" s="263">
        <f>'Form 1a ABR Office'!H16+'Form 1a ABR Office'!H139+'Form 1a ABR Office'!H211+'Form 1a ABR Office'!H284+'Form 1a ABR Office'!H357+'Form 1a ABR Office'!H438+'Form 1a ABR Office'!H524+'Form 1a ABR Office'!H598+'Form 1a ABR Office'!H673+'Form 1a ABR Office'!H750+'Form 1a ABR Office'!H827+'Form 1a ABR Office'!H899+'Form 1a ABR Office'!H974+'Form 1a ABR Office'!H1064+'Form 1a ABR Office'!H1142+'Form 1a ABR Office'!H1233</f>
        <v>51010234</v>
      </c>
      <c r="J58" s="263">
        <f>'Form 1a ABR Office'!I16+'Form 1a ABR Office'!I139+'Form 1a ABR Office'!I211+'Form 1a ABR Office'!I284+'Form 1a ABR Office'!I357+'Form 1a ABR Office'!I438+'Form 1a ABR Office'!I524+'Form 1a ABR Office'!I598+'Form 1a ABR Office'!I673+'Form 1a ABR Office'!I750+'Form 1a ABR Office'!I827+'Form 1a ABR Office'!I899+'Form 1a ABR Office'!I974+'Form 1a ABR Office'!I1064+'Form 1a ABR Office'!I1142+'Form 1a ABR Office'!I1233</f>
        <v>52677428</v>
      </c>
      <c r="K58" s="404"/>
    </row>
    <row r="59" spans="1:11" s="238" customFormat="1" ht="17.25">
      <c r="A59" s="61"/>
      <c r="B59" s="267" t="s">
        <v>53</v>
      </c>
      <c r="C59" s="66"/>
      <c r="D59" s="82"/>
      <c r="E59" s="82"/>
      <c r="F59" s="263">
        <f>'Form 1a ABR Office'!E17+'Form 1a ABR Office'!E140+'Form 1a ABR Office'!E212+'Form 1a ABR Office'!E285+'Form 1a ABR Office'!E358+'Form 1a ABR Office'!E439+'Form 1a ABR Office'!E525+'Form 1a ABR Office'!E599+'Form 1a ABR Office'!E674+'Form 1a ABR Office'!E751+'Form 1a ABR Office'!E828+'Form 1a ABR Office'!E900+'Form 1a ABR Office'!E975+'Form 1a ABR Office'!E1065+'Form 1a ABR Office'!E1143+'Form 1a ABR Office'!E1234</f>
        <v>3061395.27</v>
      </c>
      <c r="G59" s="263">
        <f>'Form 1a ABR Office'!F17+'Form 1a ABR Office'!F140+'Form 1a ABR Office'!F212+'Form 1a ABR Office'!F285+'Form 1a ABR Office'!F358+'Form 1a ABR Office'!F439+'Form 1a ABR Office'!F525+'Form 1a ABR Office'!F599+'Form 1a ABR Office'!F674+'Form 1a ABR Office'!F751+'Form 1a ABR Office'!F828+'Form 1a ABR Office'!F900+'Form 1a ABR Office'!F975+'Form 1a ABR Office'!F1065+'Form 1a ABR Office'!F1143+'Form 1a ABR Office'!F1234</f>
        <v>1583792.8599999999</v>
      </c>
      <c r="H59" s="263">
        <f>'Form 1a ABR Office'!G17+'Form 1a ABR Office'!G140+'Form 1a ABR Office'!G212+'Form 1a ABR Office'!G285+'Form 1a ABR Office'!G358+'Form 1a ABR Office'!G439+'Form 1a ABR Office'!G525+'Form 1a ABR Office'!G599+'Form 1a ABR Office'!G674+'Form 1a ABR Office'!G751+'Form 1a ABR Office'!G828+'Form 1a ABR Office'!G900+'Form 1a ABR Office'!G975+'Form 1a ABR Office'!G1065+'Form 1a ABR Office'!G1143+'Form 1a ABR Office'!G1234</f>
        <v>2040207.1400000001</v>
      </c>
      <c r="I59" s="263">
        <f>'Form 1a ABR Office'!H17+'Form 1a ABR Office'!H140+'Form 1a ABR Office'!H212+'Form 1a ABR Office'!H285+'Form 1a ABR Office'!H358+'Form 1a ABR Office'!H439+'Form 1a ABR Office'!H525+'Form 1a ABR Office'!H599+'Form 1a ABR Office'!H674+'Form 1a ABR Office'!H751+'Form 1a ABR Office'!H828+'Form 1a ABR Office'!H900+'Form 1a ABR Office'!H975+'Form 1a ABR Office'!H1065+'Form 1a ABR Office'!H1143+'Form 1a ABR Office'!H1234</f>
        <v>3624000</v>
      </c>
      <c r="J59" s="263">
        <f>'Form 1a ABR Office'!I17+'Form 1a ABR Office'!I140+'Form 1a ABR Office'!I212+'Form 1a ABR Office'!I285+'Form 1a ABR Office'!I358+'Form 1a ABR Office'!I439+'Form 1a ABR Office'!I525+'Form 1a ABR Office'!I599+'Form 1a ABR Office'!I674+'Form 1a ABR Office'!I751+'Form 1a ABR Office'!I828+'Form 1a ABR Office'!I900+'Form 1a ABR Office'!I975+'Form 1a ABR Office'!I1065+'Form 1a ABR Office'!I1143+'Form 1a ABR Office'!I1234</f>
        <v>3912000</v>
      </c>
      <c r="K59" s="404"/>
    </row>
    <row r="60" spans="1:11" s="238" customFormat="1" ht="17.25">
      <c r="A60" s="61"/>
      <c r="B60" s="267" t="s">
        <v>54</v>
      </c>
      <c r="C60" s="66"/>
      <c r="D60" s="82"/>
      <c r="E60" s="82"/>
      <c r="F60" s="263">
        <f>'Form 1a ABR Office'!E18+'Form 1a ABR Office'!E141+'Form 1a ABR Office'!E213+'Form 1a ABR Office'!E286+'Form 1a ABR Office'!E359+'Form 1a ABR Office'!E440+'Form 1a ABR Office'!E526+'Form 1a ABR Office'!E600+'Form 1a ABR Office'!E675+'Form 1a ABR Office'!E752+'Form 1a ABR Office'!E829+'Form 1a ABR Office'!E901+'Form 1a ABR Office'!E976+'Form 1a ABR Office'!E1066+'Form 1a ABR Office'!E1144+'Form 1a ABR Office'!E1235</f>
        <v>2028375</v>
      </c>
      <c r="G60" s="263">
        <f>'Form 1a ABR Office'!F18+'Form 1a ABR Office'!F141+'Form 1a ABR Office'!F213+'Form 1a ABR Office'!F286+'Form 1a ABR Office'!F359+'Form 1a ABR Office'!F440+'Form 1a ABR Office'!F526+'Form 1a ABR Office'!F600+'Form 1a ABR Office'!F675+'Form 1a ABR Office'!F752+'Form 1a ABR Office'!F829+'Form 1a ABR Office'!F901+'Form 1a ABR Office'!F976+'Form 1a ABR Office'!F1066+'Form 1a ABR Office'!F1144+'Form 1a ABR Office'!F1235</f>
        <v>1079782.2</v>
      </c>
      <c r="H60" s="263">
        <f>'Form 1a ABR Office'!G18+'Form 1a ABR Office'!G141+'Form 1a ABR Office'!G213+'Form 1a ABR Office'!G286+'Form 1a ABR Office'!G359+'Form 1a ABR Office'!G440+'Form 1a ABR Office'!G526+'Form 1a ABR Office'!G600+'Form 1a ABR Office'!G675+'Form 1a ABR Office'!G752+'Form 1a ABR Office'!G829+'Form 1a ABR Office'!G901+'Form 1a ABR Office'!G976+'Form 1a ABR Office'!G1066+'Form 1a ABR Office'!G1144+'Form 1a ABR Office'!G1235</f>
        <v>1053217.8</v>
      </c>
      <c r="I60" s="263">
        <f>'Form 1a ABR Office'!H18+'Form 1a ABR Office'!H141+'Form 1a ABR Office'!H213+'Form 1a ABR Office'!H286+'Form 1a ABR Office'!H359+'Form 1a ABR Office'!H440+'Form 1a ABR Office'!H526+'Form 1a ABR Office'!H600+'Form 1a ABR Office'!H675+'Form 1a ABR Office'!H752+'Form 1a ABR Office'!H829+'Form 1a ABR Office'!H901+'Form 1a ABR Office'!H976+'Form 1a ABR Office'!H1066+'Form 1a ABR Office'!H1144+'Form 1a ABR Office'!H1235</f>
        <v>2133000</v>
      </c>
      <c r="J60" s="263">
        <f>'Form 1a ABR Office'!I18+'Form 1a ABR Office'!I141+'Form 1a ABR Office'!I213+'Form 1a ABR Office'!I286+'Form 1a ABR Office'!I359+'Form 1a ABR Office'!I440+'Form 1a ABR Office'!I526+'Form 1a ABR Office'!I600+'Form 1a ABR Office'!I675+'Form 1a ABR Office'!I752+'Form 1a ABR Office'!I829+'Form 1a ABR Office'!I901+'Form 1a ABR Office'!I976+'Form 1a ABR Office'!I1066+'Form 1a ABR Office'!I1144+'Form 1a ABR Office'!I1235</f>
        <v>2133000</v>
      </c>
      <c r="K60" s="404"/>
    </row>
    <row r="61" spans="1:11" s="238" customFormat="1" ht="17.25">
      <c r="A61" s="61"/>
      <c r="B61" s="267" t="s">
        <v>55</v>
      </c>
      <c r="C61" s="66"/>
      <c r="D61" s="82"/>
      <c r="E61" s="82"/>
      <c r="F61" s="263">
        <f>'Form 1a ABR Office'!E19+'Form 1a ABR Office'!E142+'Form 1a ABR Office'!E214+'Form 1a ABR Office'!E287+'Form 1a ABR Office'!E360+'Form 1a ABR Office'!E441+'Form 1a ABR Office'!E527+'Form 1a ABR Office'!E601+'Form 1a ABR Office'!E676+'Form 1a ABR Office'!E753+'Form 1a ABR Office'!E830+'Form 1a ABR Office'!E902+'Form 1a ABR Office'!E977+'Form 1a ABR Office'!E1067+'Form 1a ABR Office'!E1145+'Form 1a ABR Office'!E1236</f>
        <v>2028375</v>
      </c>
      <c r="G61" s="263">
        <f>'Form 1a ABR Office'!F19+'Form 1a ABR Office'!F142+'Form 1a ABR Office'!F214+'Form 1a ABR Office'!F287+'Form 1a ABR Office'!F360+'Form 1a ABR Office'!F441+'Form 1a ABR Office'!F527+'Form 1a ABR Office'!F601+'Form 1a ABR Office'!F676+'Form 1a ABR Office'!F753+'Form 1a ABR Office'!F830+'Form 1a ABR Office'!F902+'Form 1a ABR Office'!F977+'Form 1a ABR Office'!F1067+'Form 1a ABR Office'!F1145+'Form 1a ABR Office'!F1236</f>
        <v>1079782.2</v>
      </c>
      <c r="H61" s="263">
        <f>'Form 1a ABR Office'!G19+'Form 1a ABR Office'!G142+'Form 1a ABR Office'!G214+'Form 1a ABR Office'!G287+'Form 1a ABR Office'!G360+'Form 1a ABR Office'!G441+'Form 1a ABR Office'!G527+'Form 1a ABR Office'!G601+'Form 1a ABR Office'!G676+'Form 1a ABR Office'!G753+'Form 1a ABR Office'!G830+'Form 1a ABR Office'!G902+'Form 1a ABR Office'!G977+'Form 1a ABR Office'!G1067+'Form 1a ABR Office'!G1145+'Form 1a ABR Office'!G1236</f>
        <v>1053217.8</v>
      </c>
      <c r="I61" s="263">
        <f>'Form 1a ABR Office'!H19+'Form 1a ABR Office'!H142+'Form 1a ABR Office'!H214+'Form 1a ABR Office'!H287+'Form 1a ABR Office'!H360+'Form 1a ABR Office'!H441+'Form 1a ABR Office'!H527+'Form 1a ABR Office'!H601+'Form 1a ABR Office'!H676+'Form 1a ABR Office'!H753+'Form 1a ABR Office'!H830+'Form 1a ABR Office'!H902+'Form 1a ABR Office'!H977+'Form 1a ABR Office'!H1067+'Form 1a ABR Office'!H1145+'Form 1a ABR Office'!H1236</f>
        <v>2133000</v>
      </c>
      <c r="J61" s="263">
        <f>'Form 1a ABR Office'!I19+'Form 1a ABR Office'!I142+'Form 1a ABR Office'!I214+'Form 1a ABR Office'!I287+'Form 1a ABR Office'!I360+'Form 1a ABR Office'!I441+'Form 1a ABR Office'!I527+'Form 1a ABR Office'!I601+'Form 1a ABR Office'!I676+'Form 1a ABR Office'!I753+'Form 1a ABR Office'!I830+'Form 1a ABR Office'!I902+'Form 1a ABR Office'!I977+'Form 1a ABR Office'!I1067+'Form 1a ABR Office'!I1145+'Form 1a ABR Office'!I1236</f>
        <v>2133000</v>
      </c>
      <c r="K61" s="404"/>
    </row>
    <row r="62" spans="1:11" s="238" customFormat="1" ht="17.25">
      <c r="A62" s="61"/>
      <c r="B62" s="267" t="s">
        <v>484</v>
      </c>
      <c r="C62" s="66"/>
      <c r="D62" s="82"/>
      <c r="E62" s="82"/>
      <c r="F62" s="263">
        <f>'Form 1a ABR Office'!E20+'Form 1a ABR Office'!E143+'Form 1a ABR Office'!E215+'Form 1a ABR Office'!E288+'Form 1a ABR Office'!E361+'Form 1a ABR Office'!E442+'Form 1a ABR Office'!E528+'Form 1a ABR Office'!E602+'Form 1a ABR Office'!E677+'Form 1a ABR Office'!E754+'Form 1a ABR Office'!E831+'Form 1a ABR Office'!E903+'Form 1a ABR Office'!E978+'Form 1a ABR Office'!E1068+'Form 1a ABR Office'!E1146+'Form 1a ABR Office'!E1237</f>
        <v>744000</v>
      </c>
      <c r="G62" s="263">
        <f>'Form 1a ABR Office'!F20+'Form 1a ABR Office'!F143+'Form 1a ABR Office'!F215+'Form 1a ABR Office'!F288+'Form 1a ABR Office'!F361+'Form 1a ABR Office'!F442+'Form 1a ABR Office'!F528+'Form 1a ABR Office'!F602+'Form 1a ABR Office'!F677+'Form 1a ABR Office'!F754+'Form 1a ABR Office'!F831+'Form 1a ABR Office'!F903+'Form 1a ABR Office'!F978+'Form 1a ABR Office'!F1068+'Form 1a ABR Office'!F1146+'Form 1a ABR Office'!F1237</f>
        <v>774000</v>
      </c>
      <c r="H62" s="263">
        <f>'Form 1a ABR Office'!G20+'Form 1a ABR Office'!G143+'Form 1a ABR Office'!G215+'Form 1a ABR Office'!G288+'Form 1a ABR Office'!G361+'Form 1a ABR Office'!G442+'Form 1a ABR Office'!G528+'Form 1a ABR Office'!G602+'Form 1a ABR Office'!G677+'Form 1a ABR Office'!G754+'Form 1a ABR Office'!G831+'Form 1a ABR Office'!G903+'Form 1a ABR Office'!G978+'Form 1a ABR Office'!G1068+'Form 1a ABR Office'!G1146+'Form 1a ABR Office'!G1237</f>
        <v>132000</v>
      </c>
      <c r="I62" s="263">
        <f>'Form 1a ABR Office'!H20+'Form 1a ABR Office'!H143+'Form 1a ABR Office'!H215+'Form 1a ABR Office'!H288+'Form 1a ABR Office'!H361+'Form 1a ABR Office'!H442+'Form 1a ABR Office'!H528+'Form 1a ABR Office'!H602+'Form 1a ABR Office'!H677+'Form 1a ABR Office'!H754+'Form 1a ABR Office'!H831+'Form 1a ABR Office'!H903+'Form 1a ABR Office'!H978+'Form 1a ABR Office'!H1068+'Form 1a ABR Office'!H1146+'Form 1a ABR Office'!H1237</f>
        <v>906000</v>
      </c>
      <c r="J62" s="263">
        <f>'Form 1a ABR Office'!I20+'Form 1a ABR Office'!I143+'Form 1a ABR Office'!I215+'Form 1a ABR Office'!I288+'Form 1a ABR Office'!I361+'Form 1a ABR Office'!I442+'Form 1a ABR Office'!I528+'Form 1a ABR Office'!I602+'Form 1a ABR Office'!I677+'Form 1a ABR Office'!I754+'Form 1a ABR Office'!I831+'Form 1a ABR Office'!I903+'Form 1a ABR Office'!I978+'Form 1a ABR Office'!I1068+'Form 1a ABR Office'!I1146+'Form 1a ABR Office'!I1237</f>
        <v>978000</v>
      </c>
      <c r="K62" s="404"/>
    </row>
    <row r="63" spans="1:11" s="238" customFormat="1" ht="17.25">
      <c r="A63" s="61"/>
      <c r="B63" s="267" t="s">
        <v>56</v>
      </c>
      <c r="C63" s="66"/>
      <c r="D63" s="82"/>
      <c r="E63" s="82"/>
      <c r="F63" s="263">
        <f>'Form 1a ABR Office'!E979</f>
        <v>165000</v>
      </c>
      <c r="G63" s="263">
        <f>'Form 1a ABR Office'!F979</f>
        <v>87000</v>
      </c>
      <c r="H63" s="263">
        <f>'Form 1a ABR Office'!G979</f>
        <v>129000</v>
      </c>
      <c r="I63" s="263">
        <f>'Form 1a ABR Office'!H979</f>
        <v>216000</v>
      </c>
      <c r="J63" s="263">
        <f>'Form 1a ABR Office'!I979</f>
        <v>234000</v>
      </c>
      <c r="K63" s="404"/>
    </row>
    <row r="64" spans="1:11" s="238" customFormat="1" ht="17.25">
      <c r="A64" s="61"/>
      <c r="B64" s="267" t="s">
        <v>63</v>
      </c>
      <c r="C64" s="66"/>
      <c r="D64" s="82"/>
      <c r="E64" s="82"/>
      <c r="F64" s="263">
        <f>'Form 1a ABR Office'!E980</f>
        <v>16500</v>
      </c>
      <c r="G64" s="263">
        <f>'Form 1a ABR Office'!F980</f>
        <v>8700</v>
      </c>
      <c r="H64" s="263">
        <f>'Form 1a ABR Office'!G980</f>
        <v>12900</v>
      </c>
      <c r="I64" s="263">
        <f>'Form 1a ABR Office'!H980</f>
        <v>21600</v>
      </c>
      <c r="J64" s="263">
        <f>'Form 1a ABR Office'!I980</f>
        <v>23400</v>
      </c>
      <c r="K64" s="404"/>
    </row>
    <row r="65" spans="1:11" s="238" customFormat="1" ht="17.25">
      <c r="A65" s="61"/>
      <c r="B65" s="267" t="s">
        <v>287</v>
      </c>
      <c r="C65" s="66"/>
      <c r="D65" s="82"/>
      <c r="E65" s="82"/>
      <c r="F65" s="263">
        <f>'Form 1a ABR Office'!E981</f>
        <v>0</v>
      </c>
      <c r="G65" s="263">
        <f>'Form 1a ABR Office'!F981</f>
        <v>0</v>
      </c>
      <c r="H65" s="263">
        <f>'Form 1a ABR Office'!G981</f>
        <v>72000</v>
      </c>
      <c r="I65" s="263">
        <f>'Form 1a ABR Office'!H981</f>
        <v>72000</v>
      </c>
      <c r="J65" s="263">
        <f>'Form 1a ABR Office'!I981</f>
        <v>72000</v>
      </c>
      <c r="K65" s="404"/>
    </row>
    <row r="66" spans="1:11" s="238" customFormat="1" ht="17.25">
      <c r="A66" s="61"/>
      <c r="B66" s="267" t="s">
        <v>58</v>
      </c>
      <c r="C66" s="66"/>
      <c r="D66" s="82"/>
      <c r="E66" s="82"/>
      <c r="F66" s="263">
        <f>'Form 1a ABR Office'!E982+'Form 1a ABR Office'!E1147</f>
        <v>641622.39</v>
      </c>
      <c r="G66" s="263">
        <f>'Form 1a ABR Office'!F982+'Form 1a ABR Office'!F1147</f>
        <v>313435.75</v>
      </c>
      <c r="H66" s="263">
        <f>'Form 1a ABR Office'!G982+'Form 1a ABR Office'!G1147</f>
        <v>423557.5</v>
      </c>
      <c r="I66" s="263">
        <f>'Form 1a ABR Office'!H982+'Form 1a ABR Office'!H1147</f>
        <v>736993.25</v>
      </c>
      <c r="J66" s="263">
        <f>'Form 1a ABR Office'!I982+'Form 1a ABR Office'!I1147</f>
        <v>1442170</v>
      </c>
      <c r="K66" s="404"/>
    </row>
    <row r="67" spans="1:11" s="238" customFormat="1" ht="17.25">
      <c r="A67" s="61"/>
      <c r="B67" s="267" t="s">
        <v>0</v>
      </c>
      <c r="C67" s="66"/>
      <c r="D67" s="82"/>
      <c r="E67" s="82"/>
      <c r="F67" s="263">
        <f>'Form 1a ABR Office'!E21+'Form 1a ABR Office'!E144+'Form 1a ABR Office'!E216+'Form 1a ABR Office'!E289+'Form 1a ABR Office'!E362+'Form 1a ABR Office'!E443+'Form 1a ABR Office'!E529+'Form 1a ABR Office'!E603+'Form 1a ABR Office'!E678+'Form 1a ABR Office'!E755+'Form 1a ABR Office'!E832+'Form 1a ABR Office'!E904+'Form 1a ABR Office'!E983+'Form 1a ABR Office'!E1069+'Form 1a ABR Office'!E1148+'Form 1a ABR Office'!E1238</f>
        <v>3892836.42</v>
      </c>
      <c r="G67" s="263">
        <f>'Form 1a ABR Office'!F21+'Form 1a ABR Office'!F144+'Form 1a ABR Office'!F216+'Form 1a ABR Office'!F289+'Form 1a ABR Office'!F362+'Form 1a ABR Office'!F443+'Form 1a ABR Office'!F529+'Form 1a ABR Office'!F603+'Form 1a ABR Office'!F678+'Form 1a ABR Office'!F755+'Form 1a ABR Office'!F832+'Form 1a ABR Office'!F904+'Form 1a ABR Office'!F983+'Form 1a ABR Office'!F1069+'Form 1a ABR Office'!F1148+'Form 1a ABR Office'!F1238</f>
        <v>0</v>
      </c>
      <c r="H67" s="263">
        <f>'Form 1a ABR Office'!G21+'Form 1a ABR Office'!G144+'Form 1a ABR Office'!G216+'Form 1a ABR Office'!G289+'Form 1a ABR Office'!G362+'Form 1a ABR Office'!G443+'Form 1a ABR Office'!G529+'Form 1a ABR Office'!G603+'Form 1a ABR Office'!G678+'Form 1a ABR Office'!G755+'Form 1a ABR Office'!G832+'Form 1a ABR Office'!G904+'Form 1a ABR Office'!G983+'Form 1a ABR Office'!G1069+'Form 1a ABR Office'!G1148+'Form 1a ABR Office'!G1238</f>
        <v>4306807.42</v>
      </c>
      <c r="I67" s="263">
        <f>'Form 1a ABR Office'!H21+'Form 1a ABR Office'!H144+'Form 1a ABR Office'!H216+'Form 1a ABR Office'!H289+'Form 1a ABR Office'!H362+'Form 1a ABR Office'!H443+'Form 1a ABR Office'!H529+'Form 1a ABR Office'!H603+'Form 1a ABR Office'!H678+'Form 1a ABR Office'!H755+'Form 1a ABR Office'!H832+'Form 1a ABR Office'!H904+'Form 1a ABR Office'!H983+'Form 1a ABR Office'!H1069+'Form 1a ABR Office'!H1148+'Form 1a ABR Office'!H1238</f>
        <v>4306807.42</v>
      </c>
      <c r="J67" s="263">
        <f>'Form 1a ABR Office'!I21+'Form 1a ABR Office'!I144+'Form 1a ABR Office'!I216+'Form 1a ABR Office'!I289+'Form 1a ABR Office'!I362+'Form 1a ABR Office'!I443+'Form 1a ABR Office'!I529+'Form 1a ABR Office'!I603+'Form 1a ABR Office'!I678+'Form 1a ABR Office'!I755+'Form 1a ABR Office'!I832+'Form 1a ABR Office'!I904+'Form 1a ABR Office'!I983+'Form 1a ABR Office'!I1069+'Form 1a ABR Office'!I1148+'Form 1a ABR Office'!I1238</f>
        <v>4389785.663333001</v>
      </c>
      <c r="K67" s="404"/>
    </row>
    <row r="68" spans="1:11" s="238" customFormat="1" ht="17.25">
      <c r="A68" s="61"/>
      <c r="B68" s="267" t="s">
        <v>59</v>
      </c>
      <c r="C68" s="66"/>
      <c r="D68" s="82"/>
      <c r="E68" s="82"/>
      <c r="F68" s="263">
        <f>'Form 1a ABR Office'!E22+'Form 1a ABR Office'!E145+'Form 1a ABR Office'!E217+'Form 1a ABR Office'!E290+'Form 1a ABR Office'!E363+'Form 1a ABR Office'!E444+'Form 1a ABR Office'!E530+'Form 1a ABR Office'!E604+'Form 1a ABR Office'!E679+'Form 1a ABR Office'!E756+'Form 1a ABR Office'!E833+'Form 1a ABR Office'!E905+'Form 1a ABR Office'!E984+'Form 1a ABR Office'!E1070+'Form 1a ABR Office'!E1149+'Form 1a ABR Office'!E1239</f>
        <v>650000</v>
      </c>
      <c r="G68" s="263">
        <f>'Form 1a ABR Office'!F22+'Form 1a ABR Office'!F145+'Form 1a ABR Office'!F217+'Form 1a ABR Office'!F290+'Form 1a ABR Office'!F363+'Form 1a ABR Office'!F444+'Form 1a ABR Office'!F530+'Form 1a ABR Office'!F604+'Form 1a ABR Office'!F679+'Form 1a ABR Office'!F756+'Form 1a ABR Office'!F833+'Form 1a ABR Office'!F905+'Form 1a ABR Office'!F984+'Form 1a ABR Office'!F1070+'Form 1a ABR Office'!F1149+'Form 1a ABR Office'!F1239</f>
        <v>0</v>
      </c>
      <c r="H68" s="263">
        <f>'Form 1a ABR Office'!G22+'Form 1a ABR Office'!G145+'Form 1a ABR Office'!G217+'Form 1a ABR Office'!G290+'Form 1a ABR Office'!G363+'Form 1a ABR Office'!G444+'Form 1a ABR Office'!G530+'Form 1a ABR Office'!G604+'Form 1a ABR Office'!G679+'Form 1a ABR Office'!G756+'Form 1a ABR Office'!G833+'Form 1a ABR Office'!G905+'Form 1a ABR Office'!G984+'Form 1a ABR Office'!G1070+'Form 1a ABR Office'!G1149+'Form 1a ABR Office'!G1239</f>
        <v>755000</v>
      </c>
      <c r="I68" s="263">
        <f>'Form 1a ABR Office'!H22+'Form 1a ABR Office'!H145+'Form 1a ABR Office'!H217+'Form 1a ABR Office'!H290+'Form 1a ABR Office'!H363+'Form 1a ABR Office'!H444+'Form 1a ABR Office'!H530+'Form 1a ABR Office'!H604+'Form 1a ABR Office'!H679+'Form 1a ABR Office'!H756+'Form 1a ABR Office'!H833+'Form 1a ABR Office'!H905+'Form 1a ABR Office'!H984+'Form 1a ABR Office'!H1070+'Form 1a ABR Office'!H1149+'Form 1a ABR Office'!H1239</f>
        <v>755000</v>
      </c>
      <c r="J68" s="263">
        <f>'Form 1a ABR Office'!I22+'Form 1a ABR Office'!I145+'Form 1a ABR Office'!I217+'Form 1a ABR Office'!I290+'Form 1a ABR Office'!I363+'Form 1a ABR Office'!I444+'Form 1a ABR Office'!I530+'Form 1a ABR Office'!I604+'Form 1a ABR Office'!I679+'Form 1a ABR Office'!I756+'Form 1a ABR Office'!I833+'Form 1a ABR Office'!I905+'Form 1a ABR Office'!I984+'Form 1a ABR Office'!I1070+'Form 1a ABR Office'!I1149+'Form 1a ABR Office'!I1239</f>
        <v>815000</v>
      </c>
      <c r="K68" s="404"/>
    </row>
    <row r="69" spans="1:11" s="238" customFormat="1" ht="17.25">
      <c r="A69" s="61"/>
      <c r="B69" s="267" t="s">
        <v>283</v>
      </c>
      <c r="C69" s="66"/>
      <c r="D69" s="82"/>
      <c r="E69" s="82"/>
      <c r="F69" s="263">
        <f>'Form 1a ABR Office'!E23+'Form 1a ABR Office'!E146+'Form 1a ABR Office'!E218+'Form 1a ABR Office'!E291+'Form 1a ABR Office'!E364+'Form 1a ABR Office'!E445+'Form 1a ABR Office'!E531+'Form 1a ABR Office'!E605+'Form 1a ABR Office'!E680+'Form 1a ABR Office'!E757+'Form 1a ABR Office'!E834+'Form 1a ABR Office'!E906+'Form 1a ABR Office'!E985+'Form 1a ABR Office'!E1071+'Form 1a ABR Office'!E1150+'Form 1a ABR Office'!E1240</f>
        <v>3674398.68</v>
      </c>
      <c r="G69" s="263">
        <f>'Form 1a ABR Office'!F23+'Form 1a ABR Office'!F146+'Form 1a ABR Office'!F218+'Form 1a ABR Office'!F291+'Form 1a ABR Office'!F364+'Form 1a ABR Office'!F445+'Form 1a ABR Office'!F531+'Form 1a ABR Office'!F605+'Form 1a ABR Office'!F680+'Form 1a ABR Office'!F757+'Form 1a ABR Office'!F834+'Form 1a ABR Office'!F906+'Form 1a ABR Office'!F985+'Form 1a ABR Office'!F1071+'Form 1a ABR Office'!F1150+'Form 1a ABR Office'!F1240</f>
        <v>2537271.2699999996</v>
      </c>
      <c r="H69" s="263">
        <f>'Form 1a ABR Office'!G23+'Form 1a ABR Office'!G146+'Form 1a ABR Office'!G218+'Form 1a ABR Office'!G291+'Form 1a ABR Office'!G364+'Form 1a ABR Office'!G445+'Form 1a ABR Office'!G531+'Form 1a ABR Office'!G605+'Form 1a ABR Office'!G680+'Form 1a ABR Office'!G757+'Form 1a ABR Office'!G834+'Form 1a ABR Office'!G906+'Form 1a ABR Office'!G985+'Form 1a ABR Office'!G1071+'Form 1a ABR Office'!G1150+'Form 1a ABR Office'!G1240</f>
        <v>1569153.8100000003</v>
      </c>
      <c r="I69" s="263">
        <f>'Form 1a ABR Office'!H23+'Form 1a ABR Office'!H146+'Form 1a ABR Office'!H218+'Form 1a ABR Office'!H291+'Form 1a ABR Office'!H364+'Form 1a ABR Office'!H445+'Form 1a ABR Office'!H531+'Form 1a ABR Office'!H605+'Form 1a ABR Office'!H680+'Form 1a ABR Office'!H757+'Form 1a ABR Office'!H834+'Form 1a ABR Office'!H906+'Form 1a ABR Office'!H985+'Form 1a ABR Office'!H1071+'Form 1a ABR Office'!H1150+'Form 1a ABR Office'!H1240</f>
        <v>4106425.08</v>
      </c>
      <c r="J69" s="263">
        <f>'Form 1a ABR Office'!I23+'Form 1a ABR Office'!I146+'Form 1a ABR Office'!I218+'Form 1a ABR Office'!I291+'Form 1a ABR Office'!I364+'Form 1a ABR Office'!I445+'Form 1a ABR Office'!I531+'Form 1a ABR Office'!I605+'Form 1a ABR Office'!I680+'Form 1a ABR Office'!I757+'Form 1a ABR Office'!I834+'Form 1a ABR Office'!I906+'Form 1a ABR Office'!I985+'Form 1a ABR Office'!I1071+'Form 1a ABR Office'!I1150+'Form 1a ABR Office'!I1240</f>
        <v>4389785.663333001</v>
      </c>
      <c r="K69" s="404"/>
    </row>
    <row r="70" spans="1:11" s="238" customFormat="1" ht="17.25">
      <c r="A70" s="61"/>
      <c r="B70" s="267" t="s">
        <v>60</v>
      </c>
      <c r="C70" s="66"/>
      <c r="D70" s="82"/>
      <c r="E70" s="82"/>
      <c r="F70" s="263">
        <f>'Form 1a ABR Office'!E24+'Form 1a ABR Office'!E147+'Form 1a ABR Office'!E219+'Form 1a ABR Office'!E292+'Form 1a ABR Office'!E365+'Form 1a ABR Office'!E446+'Form 1a ABR Office'!E532+'Form 1a ABR Office'!E606+'Form 1a ABR Office'!E681+'Form 1a ABR Office'!E758+'Form 1a ABR Office'!E835+'Form 1a ABR Office'!E907+'Form 1a ABR Office'!E986+'Form 1a ABR Office'!E1072+'Form 1a ABR Office'!E1151+'Form 1a ABR Office'!E1241</f>
        <v>3480243</v>
      </c>
      <c r="G70" s="263">
        <f>'Form 1a ABR Office'!F24+'Form 1a ABR Office'!F147+'Form 1a ABR Office'!F219+'Form 1a ABR Office'!F292+'Form 1a ABR Office'!F365+'Form 1a ABR Office'!F446+'Form 1a ABR Office'!F532+'Form 1a ABR Office'!F606+'Form 1a ABR Office'!F681+'Form 1a ABR Office'!F758+'Form 1a ABR Office'!F835+'Form 1a ABR Office'!F907+'Form 1a ABR Office'!F986+'Form 1a ABR Office'!F1072+'Form 1a ABR Office'!F1151+'Form 1a ABR Office'!F1241</f>
        <v>3833761</v>
      </c>
      <c r="H70" s="263">
        <f>'Form 1a ABR Office'!G24+'Form 1a ABR Office'!G147+'Form 1a ABR Office'!G219+'Form 1a ABR Office'!G292+'Form 1a ABR Office'!G365+'Form 1a ABR Office'!G446+'Form 1a ABR Office'!G532+'Form 1a ABR Office'!G606+'Form 1a ABR Office'!G681+'Form 1a ABR Office'!G758+'Form 1a ABR Office'!G835+'Form 1a ABR Office'!G907+'Form 1a ABR Office'!G986+'Form 1a ABR Office'!G1072+'Form 1a ABR Office'!G1151+'Form 1a ABR Office'!G1241</f>
        <v>473046.42</v>
      </c>
      <c r="I70" s="263">
        <f>'Form 1a ABR Office'!H24+'Form 1a ABR Office'!H147+'Form 1a ABR Office'!H219+'Form 1a ABR Office'!H292+'Form 1a ABR Office'!H365+'Form 1a ABR Office'!H446+'Form 1a ABR Office'!H532+'Form 1a ABR Office'!H606+'Form 1a ABR Office'!H681+'Form 1a ABR Office'!H758+'Form 1a ABR Office'!H835+'Form 1a ABR Office'!H907+'Form 1a ABR Office'!H986+'Form 1a ABR Office'!H1072+'Form 1a ABR Office'!H1151+'Form 1a ABR Office'!H1241</f>
        <v>4306807.42</v>
      </c>
      <c r="J70" s="263">
        <f>'Form 1a ABR Office'!I24+'Form 1a ABR Office'!I147+'Form 1a ABR Office'!I219+'Form 1a ABR Office'!I292+'Form 1a ABR Office'!I365+'Form 1a ABR Office'!I446+'Form 1a ABR Office'!I532+'Form 1a ABR Office'!I606+'Form 1a ABR Office'!I681+'Form 1a ABR Office'!I758+'Form 1a ABR Office'!I835+'Form 1a ABR Office'!I907+'Form 1a ABR Office'!I986+'Form 1a ABR Office'!I1072+'Form 1a ABR Office'!I1151+'Form 1a ABR Office'!I1241</f>
        <v>4389785.663333001</v>
      </c>
      <c r="K70" s="404"/>
    </row>
    <row r="71" spans="1:11" s="238" customFormat="1" ht="17.25">
      <c r="A71" s="61"/>
      <c r="B71" s="267" t="s">
        <v>485</v>
      </c>
      <c r="C71" s="66"/>
      <c r="D71" s="82"/>
      <c r="E71" s="82"/>
      <c r="F71" s="263">
        <f>'Form 1a ABR Office'!E25+'Form 1a ABR Office'!E148+'Form 1a ABR Office'!E220+'Form 1a ABR Office'!E293+'Form 1a ABR Office'!E366+'Form 1a ABR Office'!E447+'Form 1a ABR Office'!E533+'Form 1a ABR Office'!E607+'Form 1a ABR Office'!E682+'Form 1a ABR Office'!E759+'Form 1a ABR Office'!E836+'Form 1a ABR Office'!E908+'Form 1a ABR Office'!E987+'Form 1a ABR Office'!E1073+'Form 1a ABR Office'!E1152+'Form 1a ABR Office'!E1242</f>
        <v>5493193.319999999</v>
      </c>
      <c r="G71" s="263">
        <f>'Form 1a ABR Office'!F25+'Form 1a ABR Office'!F148+'Form 1a ABR Office'!F220+'Form 1a ABR Office'!F293+'Form 1a ABR Office'!F366+'Form 1a ABR Office'!F447+'Form 1a ABR Office'!F533+'Form 1a ABR Office'!F607+'Form 1a ABR Office'!F682+'Form 1a ABR Office'!F759+'Form 1a ABR Office'!F836+'Form 1a ABR Office'!F908+'Form 1a ABR Office'!F987+'Form 1a ABR Office'!F1073+'Form 1a ABR Office'!F1152+'Form 1a ABR Office'!F1242</f>
        <v>2832883.1700000004</v>
      </c>
      <c r="H71" s="263">
        <f>'Form 1a ABR Office'!G25+'Form 1a ABR Office'!G148+'Form 1a ABR Office'!G220+'Form 1a ABR Office'!G293+'Form 1a ABR Office'!G366+'Form 1a ABR Office'!G447+'Form 1a ABR Office'!G533+'Form 1a ABR Office'!G607+'Form 1a ABR Office'!G682+'Form 1a ABR Office'!G759+'Form 1a ABR Office'!G836+'Form 1a ABR Office'!G908+'Form 1a ABR Office'!G987+'Form 1a ABR Office'!G1073+'Form 1a ABR Office'!G1152+'Form 1a ABR Office'!G1242</f>
        <v>3288344.9299999997</v>
      </c>
      <c r="I71" s="263">
        <f>'Form 1a ABR Office'!H25+'Form 1a ABR Office'!H148+'Form 1a ABR Office'!H220+'Form 1a ABR Office'!H293+'Form 1a ABR Office'!H366+'Form 1a ABR Office'!H447+'Form 1a ABR Office'!H533+'Form 1a ABR Office'!H607+'Form 1a ABR Office'!H682+'Form 1a ABR Office'!H759+'Form 1a ABR Office'!H836+'Form 1a ABR Office'!H908+'Form 1a ABR Office'!H987+'Form 1a ABR Office'!H1073+'Form 1a ABR Office'!H1152+'Form 1a ABR Office'!H1242</f>
        <v>6121228.1</v>
      </c>
      <c r="J71" s="263">
        <f>'Form 1a ABR Office'!I25+'Form 1a ABR Office'!I148+'Form 1a ABR Office'!I220+'Form 1a ABR Office'!I293+'Form 1a ABR Office'!I366+'Form 1a ABR Office'!I447+'Form 1a ABR Office'!I533+'Form 1a ABR Office'!I607+'Form 1a ABR Office'!I682+'Form 1a ABR Office'!I759+'Form 1a ABR Office'!I836+'Form 1a ABR Office'!I908+'Form 1a ABR Office'!I987+'Form 1a ABR Office'!I1073+'Form 1a ABR Office'!I1152+'Form 1a ABR Office'!I1242</f>
        <v>6321291.36</v>
      </c>
      <c r="K71" s="404"/>
    </row>
    <row r="72" spans="1:11" s="238" customFormat="1" ht="17.25">
      <c r="A72" s="61"/>
      <c r="B72" s="267" t="s">
        <v>61</v>
      </c>
      <c r="C72" s="66"/>
      <c r="D72" s="82"/>
      <c r="E72" s="82"/>
      <c r="F72" s="263">
        <f>'Form 1a ABR Office'!E26+'Form 1a ABR Office'!E149+'Form 1a ABR Office'!E221+'Form 1a ABR Office'!E294+'Form 1a ABR Office'!E367+'Form 1a ABR Office'!E448+'Form 1a ABR Office'!E534+'Form 1a ABR Office'!E608+'Form 1a ABR Office'!E683+'Form 1a ABR Office'!E760+'Form 1a ABR Office'!E837+'Form 1a ABR Office'!E909+'Form 1a ABR Office'!E988+'Form 1a ABR Office'!E1074+'Form 1a ABR Office'!E1153+'Form 1a ABR Office'!E1243</f>
        <v>342465.84</v>
      </c>
      <c r="G72" s="263">
        <f>'Form 1a ABR Office'!F26+'Form 1a ABR Office'!F149+'Form 1a ABR Office'!F221+'Form 1a ABR Office'!F294+'Form 1a ABR Office'!F367+'Form 1a ABR Office'!F448+'Form 1a ABR Office'!F534+'Form 1a ABR Office'!F608+'Form 1a ABR Office'!F683+'Form 1a ABR Office'!F760+'Form 1a ABR Office'!F837+'Form 1a ABR Office'!F909+'Form 1a ABR Office'!F988+'Form 1a ABR Office'!F1074+'Form 1a ABR Office'!F1153+'Form 1a ABR Office'!F1243</f>
        <v>91330.23</v>
      </c>
      <c r="H72" s="263">
        <f>'Form 1a ABR Office'!G26+'Form 1a ABR Office'!G149+'Form 1a ABR Office'!G221+'Form 1a ABR Office'!G294+'Form 1a ABR Office'!G367+'Form 1a ABR Office'!G448+'Form 1a ABR Office'!G534+'Form 1a ABR Office'!G608+'Form 1a ABR Office'!G683+'Form 1a ABR Office'!G760+'Form 1a ABR Office'!G837+'Form 1a ABR Office'!G909+'Form 1a ABR Office'!G988+'Form 1a ABR Office'!G1074+'Form 1a ABR Office'!G1153+'Form 1a ABR Office'!G1243</f>
        <v>928874.4500000002</v>
      </c>
      <c r="I72" s="263">
        <f>'Form 1a ABR Office'!H26+'Form 1a ABR Office'!H149+'Form 1a ABR Office'!H221+'Form 1a ABR Office'!H294+'Form 1a ABR Office'!H367+'Form 1a ABR Office'!H448+'Form 1a ABR Office'!H534+'Form 1a ABR Office'!H608+'Form 1a ABR Office'!H683+'Form 1a ABR Office'!H760+'Form 1a ABR Office'!H837+'Form 1a ABR Office'!H909+'Form 1a ABR Office'!H988+'Form 1a ABR Office'!H1074+'Form 1a ABR Office'!H1153+'Form 1a ABR Office'!H1243</f>
        <v>1020204.68</v>
      </c>
      <c r="J72" s="263">
        <f>'Form 1a ABR Office'!I26+'Form 1a ABR Office'!I149+'Form 1a ABR Office'!I221+'Form 1a ABR Office'!I294+'Form 1a ABR Office'!I367+'Form 1a ABR Office'!I448+'Form 1a ABR Office'!I534+'Form 1a ABR Office'!I608+'Form 1a ABR Office'!I683+'Form 1a ABR Office'!I760+'Form 1a ABR Office'!I837+'Form 1a ABR Office'!I909+'Form 1a ABR Office'!I988+'Form 1a ABR Office'!I1074+'Form 1a ABR Office'!I1153+'Form 1a ABR Office'!I1243</f>
        <v>195600</v>
      </c>
      <c r="K72" s="404"/>
    </row>
    <row r="73" spans="1:11" s="238" customFormat="1" ht="17.25">
      <c r="A73" s="61"/>
      <c r="B73" s="267" t="s">
        <v>62</v>
      </c>
      <c r="C73" s="66"/>
      <c r="D73" s="82"/>
      <c r="E73" s="82"/>
      <c r="F73" s="263">
        <f>'Form 1a ABR Office'!E27+'Form 1a ABR Office'!E150+'Form 1a ABR Office'!E222+'Form 1a ABR Office'!E295+'Form 1a ABR Office'!E368+'Form 1a ABR Office'!E449+'Form 1a ABR Office'!E535+'Form 1a ABR Office'!E609+'Form 1a ABR Office'!E684+'Form 1a ABR Office'!E761+'Form 1a ABR Office'!E838+'Form 1a ABR Office'!E910+'Form 1a ABR Office'!E989+'Form 1a ABR Office'!E1075+'Form 1a ABR Office'!E1154+'Form 1a ABR Office'!E1244</f>
        <v>453781.83999999997</v>
      </c>
      <c r="G73" s="263">
        <f>'Form 1a ABR Office'!F27+'Form 1a ABR Office'!F150+'Form 1a ABR Office'!F222+'Form 1a ABR Office'!F295+'Form 1a ABR Office'!F368+'Form 1a ABR Office'!F449+'Form 1a ABR Office'!F535+'Form 1a ABR Office'!F609+'Form 1a ABR Office'!F684+'Form 1a ABR Office'!F761+'Form 1a ABR Office'!F838+'Form 1a ABR Office'!F910+'Form 1a ABR Office'!F989+'Form 1a ABR Office'!F1075+'Form 1a ABR Office'!F1154+'Form 1a ABR Office'!F1244</f>
        <v>304292.99000000005</v>
      </c>
      <c r="H73" s="263">
        <f>'Form 1a ABR Office'!G27+'Form 1a ABR Office'!G150+'Form 1a ABR Office'!G222+'Form 1a ABR Office'!G295+'Form 1a ABR Office'!G368+'Form 1a ABR Office'!G449+'Form 1a ABR Office'!G535+'Form 1a ABR Office'!G609+'Form 1a ABR Office'!G684+'Form 1a ABR Office'!G761+'Form 1a ABR Office'!G838+'Form 1a ABR Office'!G910+'Form 1a ABR Office'!G989+'Form 1a ABR Office'!G1075+'Form 1a ABR Office'!G1154+'Form 1a ABR Office'!G1244</f>
        <v>460860.54000000004</v>
      </c>
      <c r="I73" s="263">
        <f>'Form 1a ABR Office'!H27+'Form 1a ABR Office'!H150+'Form 1a ABR Office'!H222+'Form 1a ABR Office'!H295+'Form 1a ABR Office'!H368+'Form 1a ABR Office'!H449+'Form 1a ABR Office'!H535+'Form 1a ABR Office'!H609+'Form 1a ABR Office'!H684+'Form 1a ABR Office'!H761+'Form 1a ABR Office'!H838+'Form 1a ABR Office'!H910+'Form 1a ABR Office'!H989+'Form 1a ABR Office'!H1075+'Form 1a ABR Office'!H1154+'Form 1a ABR Office'!H1244</f>
        <v>765153.5299999999</v>
      </c>
      <c r="J73" s="263">
        <f>'Form 1a ABR Office'!I27+'Form 1a ABR Office'!I150+'Form 1a ABR Office'!I222+'Form 1a ABR Office'!I295+'Form 1a ABR Office'!I368+'Form 1a ABR Office'!I449+'Form 1a ABR Office'!I535+'Form 1a ABR Office'!I609+'Form 1a ABR Office'!I684+'Form 1a ABR Office'!I761+'Form 1a ABR Office'!I838+'Form 1a ABR Office'!I910+'Form 1a ABR Office'!I989+'Form 1a ABR Office'!I1075+'Form 1a ABR Office'!I1154+'Form 1a ABR Office'!I1244</f>
        <v>908084.5125000002</v>
      </c>
      <c r="K73" s="404"/>
    </row>
    <row r="74" spans="1:11" s="238" customFormat="1" ht="17.25">
      <c r="A74" s="61"/>
      <c r="B74" s="267" t="s">
        <v>262</v>
      </c>
      <c r="C74" s="66"/>
      <c r="D74" s="82"/>
      <c r="E74" s="82"/>
      <c r="F74" s="263">
        <f>'Form 1a ABR Office'!E28+'Form 1a ABR Office'!E151+'Form 1a ABR Office'!E223+'Form 1a ABR Office'!E296+'Form 1a ABR Office'!E369+'Form 1a ABR Office'!E450+'Form 1a ABR Office'!E536+'Form 1a ABR Office'!E610+'Form 1a ABR Office'!E685+'Form 1a ABR Office'!E762+'Form 1a ABR Office'!E839+'Form 1a ABR Office'!E911+'Form 1a ABR Office'!E990+'Form 1a ABR Office'!E1076+'Form 1a ABR Office'!E1155+'Form 1a ABR Office'!E1245</f>
        <v>153322.34</v>
      </c>
      <c r="G74" s="263">
        <f>'Form 1a ABR Office'!F28+'Form 1a ABR Office'!F151+'Form 1a ABR Office'!F223+'Form 1a ABR Office'!F296+'Form 1a ABR Office'!F369+'Form 1a ABR Office'!F450+'Form 1a ABR Office'!F536+'Form 1a ABR Office'!F610+'Form 1a ABR Office'!F685+'Form 1a ABR Office'!F762+'Form 1a ABR Office'!F839+'Form 1a ABR Office'!F911+'Form 1a ABR Office'!F990+'Form 1a ABR Office'!F1076+'Form 1a ABR Office'!F1155+'Form 1a ABR Office'!F1245</f>
        <v>79092.59</v>
      </c>
      <c r="H74" s="263">
        <f>'Form 1a ABR Office'!G28+'Form 1a ABR Office'!G151+'Form 1a ABR Office'!G223+'Form 1a ABR Office'!G296+'Form 1a ABR Office'!G369+'Form 1a ABR Office'!G450+'Form 1a ABR Office'!G536+'Form 1a ABR Office'!G610+'Form 1a ABR Office'!G685+'Form 1a ABR Office'!G762+'Form 1a ABR Office'!G839+'Form 1a ABR Office'!G911+'Form 1a ABR Office'!G990+'Form 1a ABR Office'!G1076+'Form 1a ABR Office'!G1155+'Form 1a ABR Office'!G1245</f>
        <v>102128.16999999998</v>
      </c>
      <c r="I74" s="263">
        <f>'Form 1a ABR Office'!H28+'Form 1a ABR Office'!H151+'Form 1a ABR Office'!H223+'Form 1a ABR Office'!H296+'Form 1a ABR Office'!H369+'Form 1a ABR Office'!H450+'Form 1a ABR Office'!H536+'Form 1a ABR Office'!H610+'Form 1a ABR Office'!H685+'Form 1a ABR Office'!H762+'Form 1a ABR Office'!H839+'Form 1a ABR Office'!H911+'Form 1a ABR Office'!H990+'Form 1a ABR Office'!H1076+'Form 1a ABR Office'!H1155+'Form 1a ABR Office'!H1245</f>
        <v>181220.76</v>
      </c>
      <c r="J74" s="263">
        <f>'Form 1a ABR Office'!I28+'Form 1a ABR Office'!I151+'Form 1a ABR Office'!I223+'Form 1a ABR Office'!I296+'Form 1a ABR Office'!I369+'Form 1a ABR Office'!I450+'Form 1a ABR Office'!I536+'Form 1a ABR Office'!I610+'Form 1a ABR Office'!I685+'Form 1a ABR Office'!I762+'Form 1a ABR Office'!I839+'Form 1a ABR Office'!I911+'Form 1a ABR Office'!I990+'Form 1a ABR Office'!I1076+'Form 1a ABR Office'!I1155+'Form 1a ABR Office'!I1245</f>
        <v>195600</v>
      </c>
      <c r="K74" s="404"/>
    </row>
    <row r="75" spans="1:11" s="238" customFormat="1" ht="17.25">
      <c r="A75" s="61"/>
      <c r="B75" s="267" t="s">
        <v>64</v>
      </c>
      <c r="C75" s="66"/>
      <c r="D75" s="82"/>
      <c r="E75" s="82"/>
      <c r="F75" s="263">
        <f>'Form 1a ABR Office'!E29+'Form 1a ABR Office'!E152+'Form 1a ABR Office'!E224+'Form 1a ABR Office'!E297+'Form 1a ABR Office'!E370+'Form 1a ABR Office'!E686+'Form 1a ABR Office'!E912+'Form 1a ABR Office'!E991+'Form 1a ABR Office'!E1077+'Form 1a ABR Office'!E1156</f>
        <v>5667373</v>
      </c>
      <c r="G75" s="263">
        <f>'Form 1a ABR Office'!F29+'Form 1a ABR Office'!F152+'Form 1a ABR Office'!F224+'Form 1a ABR Office'!F297+'Form 1a ABR Office'!F370+'Form 1a ABR Office'!F686+'Form 1a ABR Office'!F912+'Form 1a ABR Office'!F991+'Form 1a ABR Office'!F1077+'Form 1a ABR Office'!F1156</f>
        <v>487453.20000000007</v>
      </c>
      <c r="H75" s="263">
        <f>'Form 1a ABR Office'!G29+'Form 1a ABR Office'!G152+'Form 1a ABR Office'!G224+'Form 1a ABR Office'!G297+'Form 1a ABR Office'!G370+'Form 1a ABR Office'!G686+'Form 1a ABR Office'!G912+'Form 1a ABR Office'!G991+'Form 1a ABR Office'!G1077+'Form 1a ABR Office'!G1156</f>
        <v>1095622.36</v>
      </c>
      <c r="I75" s="263">
        <f>'Form 1a ABR Office'!H29+'Form 1a ABR Office'!H152+'Form 1a ABR Office'!H224+'Form 1a ABR Office'!H297+'Form 1a ABR Office'!H370+'Form 1a ABR Office'!H686+'Form 1a ABR Office'!H912+'Form 1a ABR Office'!H991+'Form 1a ABR Office'!H1077+'Form 1a ABR Office'!H1156</f>
        <v>1583075.56</v>
      </c>
      <c r="J75" s="263">
        <f>'Form 1a ABR Office'!I29+'Form 1a ABR Office'!I152+'Form 1a ABR Office'!I224+'Form 1a ABR Office'!I297+'Form 1a ABR Office'!I370+'Form 1a ABR Office'!I686+'Form 1a ABR Office'!I912+'Form 1a ABR Office'!I991+'Form 1a ABR Office'!I1077+'Form 1a ABR Office'!I1156</f>
        <v>980704.6200000001</v>
      </c>
      <c r="K75" s="404"/>
    </row>
    <row r="76" spans="1:11" s="238" customFormat="1" ht="17.25">
      <c r="A76" s="61"/>
      <c r="B76" s="267" t="s">
        <v>66</v>
      </c>
      <c r="C76" s="66"/>
      <c r="D76" s="82"/>
      <c r="E76" s="82"/>
      <c r="F76" s="263">
        <f>'Form 1a ABR Office'!E30+'Form 1a ABR Office'!E153+'Form 1a ABR Office'!E225+'Form 1a ABR Office'!E298+'Form 1a ABR Office'!E371+'Form 1a ABR Office'!E451+'Form 1a ABR Office'!E537+'Form 1a ABR Office'!E611+'Form 1a ABR Office'!E687+'Form 1a ABR Office'!E763+'Form 1a ABR Office'!E840+'Form 1a ABR Office'!E913+'Form 1a ABR Office'!E992+'Form 1a ABR Office'!E1078+'Form 1a ABR Office'!E1157+'Form 1a ABR Office'!E1246</f>
        <v>2942003.63</v>
      </c>
      <c r="G76" s="263">
        <f>'Form 1a ABR Office'!F30+'Form 1a ABR Office'!F153+'Form 1a ABR Office'!F225+'Form 1a ABR Office'!F298+'Form 1a ABR Office'!F371+'Form 1a ABR Office'!F451+'Form 1a ABR Office'!F537+'Form 1a ABR Office'!F611+'Form 1a ABR Office'!F687+'Form 1a ABR Office'!F763+'Form 1a ABR Office'!F840+'Form 1a ABR Office'!F913+'Form 1a ABR Office'!F992+'Form 1a ABR Office'!F1078+'Form 1a ABR Office'!F1157+'Form 1a ABR Office'!F1246</f>
        <v>767609.43</v>
      </c>
      <c r="H76" s="263">
        <f>'Form 1a ABR Office'!G30+'Form 1a ABR Office'!G153+'Form 1a ABR Office'!G225+'Form 1a ABR Office'!G298+'Form 1a ABR Office'!G371+'Form 1a ABR Office'!G451+'Form 1a ABR Office'!G537+'Form 1a ABR Office'!G611+'Form 1a ABR Office'!G687+'Form 1a ABR Office'!G763+'Form 1a ABR Office'!G840+'Form 1a ABR Office'!G913+'Form 1a ABR Office'!G992+'Form 1a ABR Office'!G1078+'Form 1a ABR Office'!G1157+'Form 1a ABR Office'!G1246</f>
        <v>6349806.819999998</v>
      </c>
      <c r="I76" s="263">
        <f>'Form 1a ABR Office'!H30+'Form 1a ABR Office'!H153+'Form 1a ABR Office'!H225+'Form 1a ABR Office'!H298+'Form 1a ABR Office'!H371+'Form 1a ABR Office'!H451+'Form 1a ABR Office'!H537+'Form 1a ABR Office'!H611+'Form 1a ABR Office'!H687+'Form 1a ABR Office'!H763+'Form 1a ABR Office'!H840+'Form 1a ABR Office'!H913+'Form 1a ABR Office'!H992+'Form 1a ABR Office'!H1078+'Form 1a ABR Office'!H1157+'Form 1a ABR Office'!H1246</f>
        <v>7117416.25</v>
      </c>
      <c r="J76" s="263">
        <f>'Form 1a ABR Office'!I30+'Form 1a ABR Office'!I153+'Form 1a ABR Office'!I225+'Form 1a ABR Office'!I298+'Form 1a ABR Office'!I371+'Form 1a ABR Office'!I451+'Form 1a ABR Office'!I537+'Form 1a ABR Office'!I611+'Form 1a ABR Office'!I687+'Form 1a ABR Office'!I763+'Form 1a ABR Office'!I840+'Form 1a ABR Office'!I913+'Form 1a ABR Office'!I992+'Form 1a ABR Office'!I1078+'Form 1a ABR Office'!I1157+'Form 1a ABR Office'!I1246</f>
        <v>3260000</v>
      </c>
      <c r="K76" s="404"/>
    </row>
    <row r="77" spans="1:11" s="238" customFormat="1" ht="17.25">
      <c r="A77" s="61"/>
      <c r="B77" s="267" t="s">
        <v>57</v>
      </c>
      <c r="C77" s="66"/>
      <c r="D77" s="82"/>
      <c r="E77" s="82"/>
      <c r="F77" s="263">
        <f>'Form 1a ABR Office'!E31+'Form 1a ABR Office'!E154+'Form 1a ABR Office'!E226+'Form 1a ABR Office'!E299+'Form 1a ABR Office'!E372+'Form 1a ABR Office'!E452+'Form 1a ABR Office'!E538+'Form 1a ABR Office'!E612+'Form 1a ABR Office'!E688+'Form 1a ABR Office'!E764+'Form 1a ABR Office'!E841+'Form 1a ABR Office'!E914+'Form 1a ABR Office'!E993+'Form 1a ABR Office'!E1079+'Form 1a ABR Office'!E1158+'Form 1a ABR Office'!E1247</f>
        <v>650000</v>
      </c>
      <c r="G77" s="263">
        <f>'Form 1a ABR Office'!F31+'Form 1a ABR Office'!F154+'Form 1a ABR Office'!F226+'Form 1a ABR Office'!F299+'Form 1a ABR Office'!F372+'Form 1a ABR Office'!F452+'Form 1a ABR Office'!F538+'Form 1a ABR Office'!F612+'Form 1a ABR Office'!F688+'Form 1a ABR Office'!F764+'Form 1a ABR Office'!F841+'Form 1a ABR Office'!F914+'Form 1a ABR Office'!F993+'Form 1a ABR Office'!F1079+'Form 1a ABR Office'!F1158+'Form 1a ABR Office'!F1247</f>
        <v>0</v>
      </c>
      <c r="H77" s="263">
        <f>'Form 1a ABR Office'!G31+'Form 1a ABR Office'!G154+'Form 1a ABR Office'!G226+'Form 1a ABR Office'!G299+'Form 1a ABR Office'!G372+'Form 1a ABR Office'!G452+'Form 1a ABR Office'!G538+'Form 1a ABR Office'!G612+'Form 1a ABR Office'!G688+'Form 1a ABR Office'!G764+'Form 1a ABR Office'!G841+'Form 1a ABR Office'!G914+'Form 1a ABR Office'!G993+'Form 1a ABR Office'!G1079+'Form 1a ABR Office'!G1158+'Form 1a ABR Office'!G1247</f>
        <v>755000</v>
      </c>
      <c r="I77" s="263">
        <f>'Form 1a ABR Office'!H31+'Form 1a ABR Office'!H154+'Form 1a ABR Office'!H226+'Form 1a ABR Office'!H299+'Form 1a ABR Office'!H372+'Form 1a ABR Office'!H452+'Form 1a ABR Office'!H538+'Form 1a ABR Office'!H612+'Form 1a ABR Office'!H688+'Form 1a ABR Office'!H764+'Form 1a ABR Office'!H841+'Form 1a ABR Office'!H914+'Form 1a ABR Office'!H993+'Form 1a ABR Office'!H1079+'Form 1a ABR Office'!H1158+'Form 1a ABR Office'!H1247</f>
        <v>755000</v>
      </c>
      <c r="J77" s="263">
        <f>'Form 1a ABR Office'!I31+'Form 1a ABR Office'!I154+'Form 1a ABR Office'!I226+'Form 1a ABR Office'!I299+'Form 1a ABR Office'!I372+'Form 1a ABR Office'!I452+'Form 1a ABR Office'!I538+'Form 1a ABR Office'!I612+'Form 1a ABR Office'!I688+'Form 1a ABR Office'!I764+'Form 1a ABR Office'!I841+'Form 1a ABR Office'!I914+'Form 1a ABR Office'!I993+'Form 1a ABR Office'!I1079+'Form 1a ABR Office'!I1158+'Form 1a ABR Office'!I1247</f>
        <v>815000</v>
      </c>
      <c r="K77" s="404"/>
    </row>
    <row r="78" spans="1:11" s="238" customFormat="1" ht="17.25">
      <c r="A78" s="61"/>
      <c r="B78" s="267" t="s">
        <v>65</v>
      </c>
      <c r="C78" s="66"/>
      <c r="D78" s="82"/>
      <c r="E78" s="82"/>
      <c r="F78" s="263">
        <f>'Form 1a ABR Office'!E373+'Form 1a ABR Office'!E915+'Form 1a ABR Office'!E1080</f>
        <v>0</v>
      </c>
      <c r="G78" s="263">
        <f>'Form 1a ABR Office'!F373+'Form 1a ABR Office'!F915+'Form 1a ABR Office'!F1080</f>
        <v>0</v>
      </c>
      <c r="H78" s="263">
        <f>'Form 1a ABR Office'!G373+'Form 1a ABR Office'!G915+'Form 1a ABR Office'!G1080</f>
        <v>11527.42</v>
      </c>
      <c r="I78" s="263">
        <f>'Form 1a ABR Office'!H373+'Form 1a ABR Office'!H915+'Form 1a ABR Office'!H1080</f>
        <v>11527.42</v>
      </c>
      <c r="J78" s="263">
        <f>'Form 1a ABR Office'!I373+'Form 1a ABR Office'!I915+'Form 1a ABR Office'!I1080</f>
        <v>11527.42</v>
      </c>
      <c r="K78" s="404"/>
    </row>
    <row r="79" spans="1:11" s="238" customFormat="1" ht="17.25">
      <c r="A79" s="61"/>
      <c r="B79" s="267" t="s">
        <v>294</v>
      </c>
      <c r="C79" s="66"/>
      <c r="D79" s="82"/>
      <c r="E79" s="82"/>
      <c r="F79" s="263">
        <f>'Form 1a ABR Office'!E32+'Form 1a ABR Office'!E155+'Form 1a ABR Office'!E227+'Form 1a ABR Office'!E300+'Form 1a ABR Office'!E374+'Form 1a ABR Office'!E453+'Form 1a ABR Office'!E539+'Form 1a ABR Office'!E613+'Form 1a ABR Office'!E689+'Form 1a ABR Office'!E765+'Form 1a ABR Office'!E842+'Form 1a ABR Office'!E916+'Form 1a ABR Office'!E994+'Form 1a ABR Office'!E1081+'Form 1a ABR Office'!E1159+'Form 1a ABR Office'!E1248</f>
        <v>1676013.3000000003</v>
      </c>
      <c r="G79" s="263">
        <f>'Form 1a ABR Office'!F32+'Form 1a ABR Office'!F155+'Form 1a ABR Office'!F227+'Form 1a ABR Office'!F300+'Form 1a ABR Office'!F374+'Form 1a ABR Office'!F453+'Form 1a ABR Office'!F539+'Form 1a ABR Office'!F613+'Form 1a ABR Office'!F689+'Form 1a ABR Office'!F765+'Form 1a ABR Office'!F842+'Form 1a ABR Office'!F916+'Form 1a ABR Office'!F994+'Form 1a ABR Office'!F1081+'Form 1a ABR Office'!F1159+'Form 1a ABR Office'!F1248</f>
        <v>0</v>
      </c>
      <c r="H79" s="263">
        <f>'Form 1a ABR Office'!G32+'Form 1a ABR Office'!G155+'Form 1a ABR Office'!G227+'Form 1a ABR Office'!G300+'Form 1a ABR Office'!G374+'Form 1a ABR Office'!G453+'Form 1a ABR Office'!G539+'Form 1a ABR Office'!G613+'Form 1a ABR Office'!G689+'Form 1a ABR Office'!G765+'Form 1a ABR Office'!G842+'Form 1a ABR Office'!G916+'Form 1a ABR Office'!G994+'Form 1a ABR Office'!G1081+'Form 1a ABR Office'!G1159+'Form 1a ABR Office'!G1248</f>
        <v>0</v>
      </c>
      <c r="I79" s="263">
        <f>'Form 1a ABR Office'!H32+'Form 1a ABR Office'!H155+'Form 1a ABR Office'!H227+'Form 1a ABR Office'!H300+'Form 1a ABR Office'!H374+'Form 1a ABR Office'!H453+'Form 1a ABR Office'!H539+'Form 1a ABR Office'!H613+'Form 1a ABR Office'!H689+'Form 1a ABR Office'!H765+'Form 1a ABR Office'!H842+'Form 1a ABR Office'!H916+'Form 1a ABR Office'!H994+'Form 1a ABR Office'!H1081+'Form 1a ABR Office'!H1159+'Form 1a ABR Office'!H1248</f>
        <v>0</v>
      </c>
      <c r="J79" s="263">
        <f>'Form 1a ABR Office'!I32+'Form 1a ABR Office'!I155+'Form 1a ABR Office'!I227+'Form 1a ABR Office'!I300+'Form 1a ABR Office'!I374+'Form 1a ABR Office'!I453+'Form 1a ABR Office'!I539+'Form 1a ABR Office'!I613+'Form 1a ABR Office'!I689+'Form 1a ABR Office'!I765+'Form 1a ABR Office'!I842+'Form 1a ABR Office'!I916+'Form 1a ABR Office'!I994+'Form 1a ABR Office'!I1081+'Form 1a ABR Office'!I1159+'Form 1a ABR Office'!I1248</f>
        <v>10627797.15</v>
      </c>
      <c r="K79" s="404"/>
    </row>
    <row r="80" spans="1:11" s="238" customFormat="1" ht="27" customHeight="1">
      <c r="A80" s="61"/>
      <c r="B80" s="359" t="s">
        <v>67</v>
      </c>
      <c r="C80" s="66"/>
      <c r="D80" s="268"/>
      <c r="E80" s="269"/>
      <c r="F80" s="86">
        <f>SUM(F58:F79)</f>
        <v>84254809.57000001</v>
      </c>
      <c r="G80" s="87">
        <f>SUM(G58:G79)</f>
        <v>39688642.89000001</v>
      </c>
      <c r="H80" s="68">
        <f>SUM(H58:H79)</f>
        <v>52194050.58000001</v>
      </c>
      <c r="I80" s="68">
        <f>SUM(I58:I79)</f>
        <v>91882693.47000001</v>
      </c>
      <c r="J80" s="937">
        <f>SUM(J58:J79)</f>
        <v>100904960.05249901</v>
      </c>
      <c r="K80" s="404"/>
    </row>
    <row r="81" spans="1:11" s="238" customFormat="1" ht="24" customHeight="1">
      <c r="A81" s="61"/>
      <c r="B81" s="359"/>
      <c r="C81" s="66"/>
      <c r="D81" s="88"/>
      <c r="E81" s="89"/>
      <c r="F81" s="265"/>
      <c r="G81" s="265"/>
      <c r="H81" s="265"/>
      <c r="I81" s="265"/>
      <c r="J81" s="265"/>
      <c r="K81" s="404"/>
    </row>
    <row r="82" spans="1:11" s="238" customFormat="1" ht="27.75" customHeight="1">
      <c r="A82" s="387" t="s">
        <v>68</v>
      </c>
      <c r="B82" s="75"/>
      <c r="C82" s="66"/>
      <c r="D82" s="88"/>
      <c r="E82" s="88"/>
      <c r="F82" s="263"/>
      <c r="G82" s="263"/>
      <c r="H82" s="263"/>
      <c r="I82" s="263"/>
      <c r="J82" s="263"/>
      <c r="K82" s="404"/>
    </row>
    <row r="83" spans="1:11" s="238" customFormat="1" ht="28.5" customHeight="1">
      <c r="A83" s="61"/>
      <c r="B83" s="75"/>
      <c r="C83" s="66"/>
      <c r="D83" s="88"/>
      <c r="E83" s="88"/>
      <c r="F83" s="263"/>
      <c r="G83" s="56"/>
      <c r="H83" s="57"/>
      <c r="I83" s="62"/>
      <c r="J83" s="936"/>
      <c r="K83" s="404"/>
    </row>
    <row r="84" spans="1:11" s="238" customFormat="1" ht="17.25">
      <c r="A84" s="61"/>
      <c r="B84" s="75" t="s">
        <v>69</v>
      </c>
      <c r="C84" s="66"/>
      <c r="D84" s="88"/>
      <c r="E84" s="88"/>
      <c r="F84" s="263">
        <f>'Form 1a ABR Office'!E37+'Form 1a ABR Office'!E161+'Form 1a ABR Office'!E233+'Form 1a ABR Office'!E306+'Form 1a ABR Office'!E380+'Form 1a ABR Office'!E459+'Form 1a ABR Office'!E545+'Form 1a ABR Office'!E619+'Form 1a ABR Office'!E694+'Form 1a ABR Office'!E771+'Form 1a ABR Office'!E848+'Form 1a ABR Office'!E922+'Form 1a ABR Office'!E1000+'Form 1a ABR Office'!E1087+'Form 1a ABR Office'!E1165+'Form 1a ABR Office'!E1254</f>
        <v>4065741.7100000004</v>
      </c>
      <c r="G84" s="263">
        <f>'Form 1a ABR Office'!F37+'Form 1a ABR Office'!F161+'Form 1a ABR Office'!F233+'Form 1a ABR Office'!F306+'Form 1a ABR Office'!F380+'Form 1a ABR Office'!F459+'Form 1a ABR Office'!F545+'Form 1a ABR Office'!F619+'Form 1a ABR Office'!F694+'Form 1a ABR Office'!F771+'Form 1a ABR Office'!F848+'Form 1a ABR Office'!F922+'Form 1a ABR Office'!F1000+'Form 1a ABR Office'!F1087+'Form 1a ABR Office'!F1165+'Form 1a ABR Office'!F1254</f>
        <v>766829.8600000001</v>
      </c>
      <c r="H84" s="263">
        <f>'Form 1a ABR Office'!G37+'Form 1a ABR Office'!G161+'Form 1a ABR Office'!G233+'Form 1a ABR Office'!G306+'Form 1a ABR Office'!G380+'Form 1a ABR Office'!G459+'Form 1a ABR Office'!G545+'Form 1a ABR Office'!G619+'Form 1a ABR Office'!G694+'Form 1a ABR Office'!G771+'Form 1a ABR Office'!G848+'Form 1a ABR Office'!G922+'Form 1a ABR Office'!G1000+'Form 1a ABR Office'!G1087+'Form 1a ABR Office'!G1165+'Form 1a ABR Office'!G1254</f>
        <v>3933170.14</v>
      </c>
      <c r="I84" s="263">
        <f>'Form 1a ABR Office'!H37+'Form 1a ABR Office'!H161+'Form 1a ABR Office'!H233+'Form 1a ABR Office'!H306+'Form 1a ABR Office'!H380+'Form 1a ABR Office'!H459+'Form 1a ABR Office'!H545+'Form 1a ABR Office'!H619+'Form 1a ABR Office'!H694+'Form 1a ABR Office'!H771+'Form 1a ABR Office'!H848+'Form 1a ABR Office'!H922+'Form 1a ABR Office'!H1000+'Form 1a ABR Office'!H1087+'Form 1a ABR Office'!H1165+'Form 1a ABR Office'!H1254</f>
        <v>4700000</v>
      </c>
      <c r="J84" s="263">
        <f>'Form 1a ABR Office'!I37+'Form 1a ABR Office'!I161+'Form 1a ABR Office'!I233+'Form 1a ABR Office'!I306+'Form 1a ABR Office'!I380+'Form 1a ABR Office'!I459+'Form 1a ABR Office'!I545+'Form 1a ABR Office'!I619+'Form 1a ABR Office'!I694+'Form 1a ABR Office'!I771+'Form 1a ABR Office'!I848+'Form 1a ABR Office'!I922+'Form 1a ABR Office'!I1000+'Form 1a ABR Office'!I1087+'Form 1a ABR Office'!I1165+'Form 1a ABR Office'!I1254</f>
        <v>2000000</v>
      </c>
      <c r="K84" s="404"/>
    </row>
    <row r="85" spans="1:11" s="238" customFormat="1" ht="17.25">
      <c r="A85" s="61"/>
      <c r="B85" s="75" t="s">
        <v>176</v>
      </c>
      <c r="C85" s="66"/>
      <c r="D85" s="88"/>
      <c r="E85" s="88"/>
      <c r="F85" s="263">
        <f>'Form 1a ABR Office'!E38+'Form 1a ABR Office'!E162+'Form 1a ABR Office'!E234+'Form 1a ABR Office'!E307+'Form 1a ABR Office'!E381+'Form 1a ABR Office'!E460+'Form 1a ABR Office'!E546+'Form 1a ABR Office'!E620+'Form 1a ABR Office'!E695+'Form 1a ABR Office'!E772+'Form 1a ABR Office'!E849+'Form 1a ABR Office'!E923+'Form 1a ABR Office'!E1001+'Form 1a ABR Office'!E1088+'Form 1a ABR Office'!E1166+'Form 1a ABR Office'!E1255</f>
        <v>1346340.76</v>
      </c>
      <c r="G85" s="263">
        <f>'Form 1a ABR Office'!F38+'Form 1a ABR Office'!F162+'Form 1a ABR Office'!F234+'Form 1a ABR Office'!F307+'Form 1a ABR Office'!F381+'Form 1a ABR Office'!F460+'Form 1a ABR Office'!F546+'Form 1a ABR Office'!F620+'Form 1a ABR Office'!F695+'Form 1a ABR Office'!F772+'Form 1a ABR Office'!F849+'Form 1a ABR Office'!F923+'Form 1a ABR Office'!F1001+'Form 1a ABR Office'!F1088+'Form 1a ABR Office'!F1166+'Form 1a ABR Office'!F1255</f>
        <v>200642</v>
      </c>
      <c r="H85" s="263">
        <f>'Form 1a ABR Office'!G38+'Form 1a ABR Office'!G162+'Form 1a ABR Office'!G234+'Form 1a ABR Office'!G307+'Form 1a ABR Office'!G381+'Form 1a ABR Office'!G460+'Form 1a ABR Office'!G546+'Form 1a ABR Office'!G620+'Form 1a ABR Office'!G695+'Form 1a ABR Office'!G772+'Form 1a ABR Office'!G849+'Form 1a ABR Office'!G923+'Form 1a ABR Office'!G1001+'Form 1a ABR Office'!G1088+'Form 1a ABR Office'!G1166+'Form 1a ABR Office'!G1255</f>
        <v>1796358</v>
      </c>
      <c r="I85" s="263">
        <f>'Form 1a ABR Office'!H38+'Form 1a ABR Office'!H162+'Form 1a ABR Office'!H234+'Form 1a ABR Office'!H307+'Form 1a ABR Office'!H381+'Form 1a ABR Office'!H460+'Form 1a ABR Office'!H546+'Form 1a ABR Office'!H620+'Form 1a ABR Office'!H695+'Form 1a ABR Office'!H772+'Form 1a ABR Office'!H849+'Form 1a ABR Office'!H923+'Form 1a ABR Office'!H1001+'Form 1a ABR Office'!H1088+'Form 1a ABR Office'!H1166+'Form 1a ABR Office'!H1255</f>
        <v>1997000</v>
      </c>
      <c r="J85" s="263">
        <f>'Form 1a ABR Office'!I38+'Form 1a ABR Office'!I162+'Form 1a ABR Office'!I234+'Form 1a ABR Office'!I307+'Form 1a ABR Office'!I381+'Form 1a ABR Office'!I460+'Form 1a ABR Office'!I546+'Form 1a ABR Office'!I620+'Form 1a ABR Office'!I695+'Form 1a ABR Office'!I772+'Form 1a ABR Office'!I849+'Form 1a ABR Office'!I923+'Form 1a ABR Office'!I1001+'Form 1a ABR Office'!I1088+'Form 1a ABR Office'!I1166+'Form 1a ABR Office'!I1255</f>
        <v>830000</v>
      </c>
      <c r="K85" s="404"/>
    </row>
    <row r="86" spans="1:11" s="238" customFormat="1" ht="17.25">
      <c r="A86" s="61"/>
      <c r="B86" s="75" t="s">
        <v>70</v>
      </c>
      <c r="C86" s="66"/>
      <c r="D86" s="88"/>
      <c r="E86" s="88"/>
      <c r="F86" s="263">
        <f>'Form 1a ABR Office'!E39+'Form 1a ABR Office'!E163+'Form 1a ABR Office'!E235+'Form 1a ABR Office'!E382+'Form 1a ABR Office'!E461+'Form 1a ABR Office'!E547+'Form 1a ABR Office'!E621+'Form 1a ABR Office'!E696+'Form 1a ABR Office'!E773+'Form 1a ABR Office'!E850+'Form 1a ABR Office'!E924+'Form 1a ABR Office'!E1002+'Form 1a ABR Office'!E1089+'Form 1a ABR Office'!E1167+'Form 1a ABR Office'!E1256</f>
        <v>1443083.1500000001</v>
      </c>
      <c r="G86" s="263">
        <f>'Form 1a ABR Office'!F39+'Form 1a ABR Office'!F163+'Form 1a ABR Office'!F235+'Form 1a ABR Office'!F382+'Form 1a ABR Office'!F461+'Form 1a ABR Office'!F547+'Form 1a ABR Office'!F621+'Form 1a ABR Office'!F696+'Form 1a ABR Office'!F773+'Form 1a ABR Office'!F850+'Form 1a ABR Office'!F924+'Form 1a ABR Office'!F1002+'Form 1a ABR Office'!F1089+'Form 1a ABR Office'!F1167+'Form 1a ABR Office'!F1256</f>
        <v>511964.87000000005</v>
      </c>
      <c r="H86" s="263">
        <f>'Form 1a ABR Office'!G39+'Form 1a ABR Office'!G163+'Form 1a ABR Office'!G235+'Form 1a ABR Office'!G382+'Form 1a ABR Office'!G461+'Form 1a ABR Office'!G547+'Form 1a ABR Office'!G621+'Form 1a ABR Office'!G696+'Form 1a ABR Office'!G773+'Form 1a ABR Office'!G850+'Form 1a ABR Office'!G924+'Form 1a ABR Office'!G1002+'Form 1a ABR Office'!G1089+'Form 1a ABR Office'!G1167+'Form 1a ABR Office'!G1256</f>
        <v>1560035.1300000001</v>
      </c>
      <c r="I86" s="263">
        <f>'Form 1a ABR Office'!H39+'Form 1a ABR Office'!H163+'Form 1a ABR Office'!H235+'Form 1a ABR Office'!H382+'Form 1a ABR Office'!H461+'Form 1a ABR Office'!H547+'Form 1a ABR Office'!H621+'Form 1a ABR Office'!H696+'Form 1a ABR Office'!H773+'Form 1a ABR Office'!H850+'Form 1a ABR Office'!H924+'Form 1a ABR Office'!H1002+'Form 1a ABR Office'!H1089+'Form 1a ABR Office'!H1167+'Form 1a ABR Office'!H1256</f>
        <v>2072000</v>
      </c>
      <c r="J86" s="263">
        <f>'Form 1a ABR Office'!I39+'Form 1a ABR Office'!I163+'Form 1a ABR Office'!I235+'Form 1a ABR Office'!I382+'Form 1a ABR Office'!I461+'Form 1a ABR Office'!I547+'Form 1a ABR Office'!I621+'Form 1a ABR Office'!I696+'Form 1a ABR Office'!I773+'Form 1a ABR Office'!I850+'Form 1a ABR Office'!I924+'Form 1a ABR Office'!I1002+'Form 1a ABR Office'!I1089+'Form 1a ABR Office'!I1167+'Form 1a ABR Office'!I1256</f>
        <v>2410000</v>
      </c>
      <c r="K86" s="404"/>
    </row>
    <row r="87" spans="1:11" s="238" customFormat="1" ht="17.25">
      <c r="A87" s="61"/>
      <c r="B87" s="75" t="s">
        <v>71</v>
      </c>
      <c r="C87" s="66"/>
      <c r="D87" s="88"/>
      <c r="E87" s="88"/>
      <c r="F87" s="263">
        <f>'Form 1a ABR Office'!E774</f>
        <v>323957.15</v>
      </c>
      <c r="G87" s="263">
        <f>'Form 1a ABR Office'!F774</f>
        <v>126867.45</v>
      </c>
      <c r="H87" s="263">
        <f>'Form 1a ABR Office'!G774</f>
        <v>373132.55</v>
      </c>
      <c r="I87" s="263">
        <f>'Form 1a ABR Office'!H774</f>
        <v>500000</v>
      </c>
      <c r="J87" s="263">
        <f>'Form 1a ABR Office'!I774</f>
        <v>1210000</v>
      </c>
      <c r="K87" s="404"/>
    </row>
    <row r="88" spans="1:11" s="238" customFormat="1" ht="17.25">
      <c r="A88" s="61"/>
      <c r="B88" s="75" t="s">
        <v>72</v>
      </c>
      <c r="C88" s="66"/>
      <c r="D88" s="88"/>
      <c r="E88" s="88"/>
      <c r="F88" s="263">
        <f>'Form 1a ABR Office'!E1090</f>
        <v>50000</v>
      </c>
      <c r="G88" s="263">
        <f>'Form 1a ABR Office'!F1090</f>
        <v>0</v>
      </c>
      <c r="H88" s="263">
        <f>'Form 1a ABR Office'!G1090</f>
        <v>75000</v>
      </c>
      <c r="I88" s="263">
        <f>'Form 1a ABR Office'!H1090</f>
        <v>75000</v>
      </c>
      <c r="J88" s="263">
        <f>'Form 1a ABR Office'!I1090</f>
        <v>75000</v>
      </c>
      <c r="K88" s="404"/>
    </row>
    <row r="89" spans="1:11" s="238" customFormat="1" ht="17.25">
      <c r="A89" s="271"/>
      <c r="B89" s="272" t="s">
        <v>73</v>
      </c>
      <c r="C89" s="273"/>
      <c r="D89" s="274"/>
      <c r="E89" s="274"/>
      <c r="F89" s="275">
        <f>'Form 1a ABR Office'!E164+'Form 1a ABR Office'!E236</f>
        <v>0</v>
      </c>
      <c r="G89" s="275">
        <f>'Form 1a ABR Office'!F164+'Form 1a ABR Office'!F236</f>
        <v>0</v>
      </c>
      <c r="H89" s="275">
        <f>'Form 1a ABR Office'!G164+'Form 1a ABR Office'!G236</f>
        <v>350000</v>
      </c>
      <c r="I89" s="275">
        <f>'Form 1a ABR Office'!H164+'Form 1a ABR Office'!H236</f>
        <v>350000</v>
      </c>
      <c r="J89" s="275">
        <f>'Form 1a ABR Office'!I164+'Form 1a ABR Office'!I236</f>
        <v>100000</v>
      </c>
      <c r="K89" s="404"/>
    </row>
    <row r="90" spans="1:11" s="238" customFormat="1" ht="18.75">
      <c r="A90" s="276" t="str">
        <f>A1</f>
        <v>LBP Form No. 1</v>
      </c>
      <c r="B90" s="75"/>
      <c r="C90" s="81"/>
      <c r="D90" s="90"/>
      <c r="E90" s="90"/>
      <c r="F90" s="277"/>
      <c r="G90" s="277"/>
      <c r="H90" s="77"/>
      <c r="I90" s="77"/>
      <c r="J90" s="938"/>
      <c r="K90" s="404"/>
    </row>
    <row r="91" spans="1:11" s="238" customFormat="1" ht="18.75">
      <c r="A91" s="276" t="s">
        <v>76</v>
      </c>
      <c r="B91" s="75"/>
      <c r="C91" s="81"/>
      <c r="D91" s="90"/>
      <c r="E91" s="90"/>
      <c r="F91" s="277"/>
      <c r="G91" s="277"/>
      <c r="H91" s="77"/>
      <c r="I91" s="77"/>
      <c r="J91" s="938"/>
      <c r="K91" s="404"/>
    </row>
    <row r="92" spans="1:11" s="238" customFormat="1" ht="18.75">
      <c r="A92" s="75"/>
      <c r="B92" s="75"/>
      <c r="C92" s="81"/>
      <c r="D92" s="90"/>
      <c r="E92" s="90"/>
      <c r="F92" s="277"/>
      <c r="G92" s="277"/>
      <c r="H92" s="77"/>
      <c r="I92" s="77"/>
      <c r="J92" s="938"/>
      <c r="K92" s="404"/>
    </row>
    <row r="93" spans="1:11" s="238" customFormat="1" ht="18.75">
      <c r="A93" s="272"/>
      <c r="B93" s="272"/>
      <c r="C93" s="278"/>
      <c r="D93" s="91"/>
      <c r="E93" s="91"/>
      <c r="F93" s="279"/>
      <c r="G93" s="279"/>
      <c r="H93" s="280"/>
      <c r="I93" s="280"/>
      <c r="J93" s="939"/>
      <c r="K93" s="404"/>
    </row>
    <row r="94" spans="1:11" s="238" customFormat="1" ht="17.25">
      <c r="A94" s="92"/>
      <c r="B94" s="281" t="s">
        <v>74</v>
      </c>
      <c r="C94" s="282"/>
      <c r="D94" s="283"/>
      <c r="E94" s="283"/>
      <c r="F94" s="284">
        <f>'Form 1a ABR Office'!E548+'Form 1a ABR Office'!E697+'Form 1a ABR Office'!E775+'Form 1a ABR Office'!E1003</f>
        <v>41150</v>
      </c>
      <c r="G94" s="284">
        <f>'Form 1a ABR Office'!F548+'Form 1a ABR Office'!F697+'Form 1a ABR Office'!F775+'Form 1a ABR Office'!F1003</f>
        <v>0</v>
      </c>
      <c r="H94" s="284">
        <f>'Form 1a ABR Office'!G548+'Form 1a ABR Office'!G697+'Form 1a ABR Office'!G775+'Form 1a ABR Office'!G1003</f>
        <v>170000</v>
      </c>
      <c r="I94" s="284">
        <f>'Form 1a ABR Office'!H548+'Form 1a ABR Office'!H697+'Form 1a ABR Office'!H775+'Form 1a ABR Office'!H1003</f>
        <v>170000</v>
      </c>
      <c r="J94" s="284">
        <f>'Form 1a ABR Office'!I548+'Form 1a ABR Office'!I697+'Form 1a ABR Office'!I775+'Form 1a ABR Office'!I1003</f>
        <v>70000</v>
      </c>
      <c r="K94" s="404"/>
    </row>
    <row r="95" spans="1:11" s="238" customFormat="1" ht="17.25">
      <c r="A95" s="61"/>
      <c r="B95" s="75" t="s">
        <v>75</v>
      </c>
      <c r="C95" s="66"/>
      <c r="D95" s="88"/>
      <c r="E95" s="88"/>
      <c r="F95" s="263">
        <f>'Form 1a ABR Office'!E698+'Form 1a ABR Office'!E776</f>
        <v>0</v>
      </c>
      <c r="G95" s="263">
        <f>'Form 1a ABR Office'!F698+'Form 1a ABR Office'!F776</f>
        <v>0</v>
      </c>
      <c r="H95" s="263">
        <f>'Form 1a ABR Office'!G698+'Form 1a ABR Office'!G776</f>
        <v>3000</v>
      </c>
      <c r="I95" s="263">
        <f>'Form 1a ABR Office'!H698+'Form 1a ABR Office'!H776</f>
        <v>3000</v>
      </c>
      <c r="J95" s="263">
        <f>'Form 1a ABR Office'!I698+'Form 1a ABR Office'!I776</f>
        <v>3000</v>
      </c>
      <c r="K95" s="404"/>
    </row>
    <row r="96" spans="1:11" s="238" customFormat="1" ht="17.25">
      <c r="A96" s="61"/>
      <c r="B96" s="75" t="s">
        <v>97</v>
      </c>
      <c r="C96" s="66"/>
      <c r="D96" s="88"/>
      <c r="E96" s="88"/>
      <c r="F96" s="263">
        <f>'Form 1a ABR Office'!E42+'Form 1a ABR Office'!E165+'Form 1a ABR Office'!E237+'Form 1a ABR Office'!E308+'Form 1a ABR Office'!E384+'Form 1a ABR Office'!E462+'Form 1a ABR Office'!E549+'Form 1a ABR Office'!E622+'Form 1a ABR Office'!E699+'Form 1a ABR Office'!E777+'Form 1a ABR Office'!E851+'Form 1a ABR Office'!E925+'Form 1a ABR Office'!E1004+'Form 1a ABR Office'!E1093+'Form 1a ABR Office'!E1169+'Form 1a ABR Office'!E1258</f>
        <v>593000</v>
      </c>
      <c r="G96" s="263">
        <f>'Form 1a ABR Office'!F42+'Form 1a ABR Office'!F165+'Form 1a ABR Office'!F237+'Form 1a ABR Office'!F308+'Form 1a ABR Office'!F384+'Form 1a ABR Office'!F462+'Form 1a ABR Office'!F549+'Form 1a ABR Office'!F622+'Form 1a ABR Office'!F699+'Form 1a ABR Office'!F777+'Form 1a ABR Office'!F851+'Form 1a ABR Office'!F925+'Form 1a ABR Office'!F1004+'Form 1a ABR Office'!F1093+'Form 1a ABR Office'!F1169+'Form 1a ABR Office'!F1258</f>
        <v>303935.3</v>
      </c>
      <c r="H96" s="263">
        <f>'Form 1a ABR Office'!G42+'Form 1a ABR Office'!G165+'Form 1a ABR Office'!G237+'Form 1a ABR Office'!G308+'Form 1a ABR Office'!G384+'Form 1a ABR Office'!G462+'Form 1a ABR Office'!G549+'Form 1a ABR Office'!G622+'Form 1a ABR Office'!G699+'Form 1a ABR Office'!G777+'Form 1a ABR Office'!G851+'Form 1a ABR Office'!G925+'Form 1a ABR Office'!G1004+'Form 1a ABR Office'!G1093+'Form 1a ABR Office'!G1169+'Form 1a ABR Office'!G1258</f>
        <v>296064.7</v>
      </c>
      <c r="I96" s="263">
        <f>'Form 1a ABR Office'!H42+'Form 1a ABR Office'!H165+'Form 1a ABR Office'!H237+'Form 1a ABR Office'!H308+'Form 1a ABR Office'!H384+'Form 1a ABR Office'!H462+'Form 1a ABR Office'!H549+'Form 1a ABR Office'!H622+'Form 1a ABR Office'!H699+'Form 1a ABR Office'!H777+'Form 1a ABR Office'!H851+'Form 1a ABR Office'!H925+'Form 1a ABR Office'!H1004+'Form 1a ABR Office'!H1093+'Form 1a ABR Office'!H1169+'Form 1a ABR Office'!H1258</f>
        <v>600000</v>
      </c>
      <c r="J96" s="263">
        <f>'Form 1a ABR Office'!I42+'Form 1a ABR Office'!I165+'Form 1a ABR Office'!I237+'Form 1a ABR Office'!I308+'Form 1a ABR Office'!I384+'Form 1a ABR Office'!I462+'Form 1a ABR Office'!I549+'Form 1a ABR Office'!I622+'Form 1a ABR Office'!I699+'Form 1a ABR Office'!I777+'Form 1a ABR Office'!I851+'Form 1a ABR Office'!I925+'Form 1a ABR Office'!I1004+'Form 1a ABR Office'!I1093+'Form 1a ABR Office'!I1169+'Form 1a ABR Office'!I1258</f>
        <v>624000</v>
      </c>
      <c r="K96" s="404"/>
    </row>
    <row r="97" spans="1:11" s="238" customFormat="1" ht="17.25">
      <c r="A97" s="61"/>
      <c r="B97" s="75" t="s">
        <v>77</v>
      </c>
      <c r="C97" s="66"/>
      <c r="D97" s="88"/>
      <c r="E97" s="88"/>
      <c r="F97" s="263">
        <f>'Form 1a ABR Office'!E169</f>
        <v>30000</v>
      </c>
      <c r="G97" s="263">
        <f>'Form 1a ABR Office'!F169</f>
        <v>80000</v>
      </c>
      <c r="H97" s="263">
        <f>'Form 1a ABR Office'!G169</f>
        <v>65000</v>
      </c>
      <c r="I97" s="263">
        <f>'Form 1a ABR Office'!H169</f>
        <v>145000</v>
      </c>
      <c r="J97" s="263">
        <f>'Form 1a ABR Office'!I169</f>
        <v>70000</v>
      </c>
      <c r="K97" s="404"/>
    </row>
    <row r="98" spans="1:11" s="238" customFormat="1" ht="17.25">
      <c r="A98" s="61"/>
      <c r="B98" s="75" t="s">
        <v>490</v>
      </c>
      <c r="C98" s="66"/>
      <c r="D98" s="88"/>
      <c r="E98" s="88"/>
      <c r="F98" s="263">
        <f>'Form 1a ABR Office'!E40+'Form 1a ABR Office'!E1168+'Form 1a ABR Office'!E1257</f>
        <v>129176.73</v>
      </c>
      <c r="G98" s="263">
        <f>'Form 1a ABR Office'!F40+'Form 1a ABR Office'!F1168+'Form 1a ABR Office'!F1257</f>
        <v>63929.9</v>
      </c>
      <c r="H98" s="263">
        <f>'Form 1a ABR Office'!G40+'Form 1a ABR Office'!G1168+'Form 1a ABR Office'!G1257</f>
        <v>216070.1</v>
      </c>
      <c r="I98" s="263">
        <f>'Form 1a ABR Office'!H40+'Form 1a ABR Office'!H1168+'Form 1a ABR Office'!H1257</f>
        <v>280000</v>
      </c>
      <c r="J98" s="263">
        <f>'Form 1a ABR Office'!I40+'Form 1a ABR Office'!I1168+'Form 1a ABR Office'!I1257</f>
        <v>180000</v>
      </c>
      <c r="K98" s="404"/>
    </row>
    <row r="99" spans="1:11" s="238" customFormat="1" ht="17.25">
      <c r="A99" s="61"/>
      <c r="B99" s="75" t="s">
        <v>265</v>
      </c>
      <c r="C99" s="66"/>
      <c r="D99" s="88"/>
      <c r="E99" s="88"/>
      <c r="F99" s="263">
        <f>'Form 1a ABR Office'!E45+'Form 1a ABR Office'!E167+'Form 1a ABR Office'!E239+'Form 1a ABR Office'!E310+'Form 1a ABR Office'!E385+'Form 1a ABR Office'!E463+'Form 1a ABR Office'!E550+'Form 1a ABR Office'!E623+'Form 1a ABR Office'!E700+'Form 1a ABR Office'!E779+'Form 1a ABR Office'!E852+'Form 1a ABR Office'!E926+'Form 1a ABR Office'!E1005+'Form 1a ABR Office'!E1094+'Form 1a ABR Office'!E1170+'Form 1a ABR Office'!E1259</f>
        <v>1384506.9</v>
      </c>
      <c r="G99" s="263">
        <f>'Form 1a ABR Office'!F45+'Form 1a ABR Office'!F167+'Form 1a ABR Office'!F239+'Form 1a ABR Office'!F310+'Form 1a ABR Office'!F385+'Form 1a ABR Office'!F463+'Form 1a ABR Office'!F550+'Form 1a ABR Office'!F623+'Form 1a ABR Office'!F700+'Form 1a ABR Office'!F779+'Form 1a ABR Office'!F852+'Form 1a ABR Office'!F926+'Form 1a ABR Office'!F1005+'Form 1a ABR Office'!F1094+'Form 1a ABR Office'!F1170+'Form 1a ABR Office'!F1259</f>
        <v>557097.11</v>
      </c>
      <c r="H99" s="263">
        <f>'Form 1a ABR Office'!G45+'Form 1a ABR Office'!G167+'Form 1a ABR Office'!G239+'Form 1a ABR Office'!G310+'Form 1a ABR Office'!G385+'Form 1a ABR Office'!G463+'Form 1a ABR Office'!G550+'Form 1a ABR Office'!G623+'Form 1a ABR Office'!G700+'Form 1a ABR Office'!G779+'Form 1a ABR Office'!G852+'Form 1a ABR Office'!G926+'Form 1a ABR Office'!G1005+'Form 1a ABR Office'!G1094+'Form 1a ABR Office'!G1170+'Form 1a ABR Office'!G1259</f>
        <v>1322902.8900000001</v>
      </c>
      <c r="I99" s="263">
        <f>'Form 1a ABR Office'!H45+'Form 1a ABR Office'!H167+'Form 1a ABR Office'!H239+'Form 1a ABR Office'!H310+'Form 1a ABR Office'!H385+'Form 1a ABR Office'!H463+'Form 1a ABR Office'!H550+'Form 1a ABR Office'!H623+'Form 1a ABR Office'!H700+'Form 1a ABR Office'!H779+'Form 1a ABR Office'!H852+'Form 1a ABR Office'!H926+'Form 1a ABR Office'!H1005+'Form 1a ABR Office'!H1094+'Form 1a ABR Office'!H1170+'Form 1a ABR Office'!H1259</f>
        <v>1880000</v>
      </c>
      <c r="J99" s="263">
        <f>'Form 1a ABR Office'!I45+'Form 1a ABR Office'!I167+'Form 1a ABR Office'!I239+'Form 1a ABR Office'!I310+'Form 1a ABR Office'!I385+'Form 1a ABR Office'!I463+'Form 1a ABR Office'!I550+'Form 1a ABR Office'!I623+'Form 1a ABR Office'!I700+'Form 1a ABR Office'!I779+'Form 1a ABR Office'!I852+'Form 1a ABR Office'!I926+'Form 1a ABR Office'!I1005+'Form 1a ABR Office'!I1094+'Form 1a ABR Office'!I1170+'Form 1a ABR Office'!I1259</f>
        <v>1885000</v>
      </c>
      <c r="K99" s="404"/>
    </row>
    <row r="100" spans="1:11" s="238" customFormat="1" ht="17.25">
      <c r="A100" s="61"/>
      <c r="B100" s="34" t="s">
        <v>291</v>
      </c>
      <c r="C100" s="66"/>
      <c r="D100" s="88"/>
      <c r="E100" s="88"/>
      <c r="F100" s="263">
        <f>'Form 1a ABR Office'!E168+'Form 1a ABR Office'!E240</f>
        <v>533260</v>
      </c>
      <c r="G100" s="263">
        <f>'Form 1a ABR Office'!F168+'Form 1a ABR Office'!F240</f>
        <v>486360</v>
      </c>
      <c r="H100" s="263">
        <f>'Form 1a ABR Office'!G168+'Form 1a ABR Office'!G240</f>
        <v>313640</v>
      </c>
      <c r="I100" s="263">
        <f>'Form 1a ABR Office'!H168+'Form 1a ABR Office'!H240</f>
        <v>800000</v>
      </c>
      <c r="J100" s="263">
        <f>'Form 1a ABR Office'!I168+'Form 1a ABR Office'!I240</f>
        <v>800000</v>
      </c>
      <c r="K100" s="404"/>
    </row>
    <row r="101" spans="1:11" s="238" customFormat="1" ht="17.25">
      <c r="A101" s="61"/>
      <c r="B101" s="34" t="s">
        <v>431</v>
      </c>
      <c r="C101" s="66"/>
      <c r="D101" s="88"/>
      <c r="E101" s="88"/>
      <c r="F101" s="263">
        <f>'Form 1a ABR Office'!E46+'Form 1a ABR Office'!E386+'Form 1a ABR Office'!E624+'Form 1a ABR Office'!E781+'Form 1a ABR Office'!E927+'Form 1a ABR Office'!E1095+'Form 1a ABR Office'!E1261</f>
        <v>283836.77</v>
      </c>
      <c r="G101" s="263">
        <f>'Form 1a ABR Office'!F46+'Form 1a ABR Office'!F386+'Form 1a ABR Office'!F624+'Form 1a ABR Office'!F781+'Form 1a ABR Office'!F927+'Form 1a ABR Office'!F1095+'Form 1a ABR Office'!F1261</f>
        <v>197737</v>
      </c>
      <c r="H101" s="263">
        <f>'Form 1a ABR Office'!G46+'Form 1a ABR Office'!G386+'Form 1a ABR Office'!G624+'Form 1a ABR Office'!G781+'Form 1a ABR Office'!G927+'Form 1a ABR Office'!G1095+'Form 1a ABR Office'!G1261</f>
        <v>487263</v>
      </c>
      <c r="I101" s="263">
        <f>'Form 1a ABR Office'!H46+'Form 1a ABR Office'!H386+'Form 1a ABR Office'!H624+'Form 1a ABR Office'!H781+'Form 1a ABR Office'!H927+'Form 1a ABR Office'!H1095+'Form 1a ABR Office'!H1261</f>
        <v>685000</v>
      </c>
      <c r="J101" s="263">
        <f>'Form 1a ABR Office'!I46+'Form 1a ABR Office'!I386+'Form 1a ABR Office'!I624+'Form 1a ABR Office'!I781+'Form 1a ABR Office'!I927+'Form 1a ABR Office'!I1095+'Form 1a ABR Office'!I1261</f>
        <v>560000</v>
      </c>
      <c r="K101" s="404"/>
    </row>
    <row r="102" spans="1:11" s="238" customFormat="1" ht="17.25">
      <c r="A102" s="61"/>
      <c r="B102" s="75" t="s">
        <v>82</v>
      </c>
      <c r="C102" s="66"/>
      <c r="D102" s="88"/>
      <c r="E102" s="88"/>
      <c r="F102" s="263">
        <f>'Form 1a ABR Office'!E853</f>
        <v>0</v>
      </c>
      <c r="G102" s="263">
        <f>'Form 1a ABR Office'!F853</f>
        <v>0</v>
      </c>
      <c r="H102" s="263">
        <f>'Form 1a ABR Office'!G853</f>
        <v>50000</v>
      </c>
      <c r="I102" s="263">
        <f>'Form 1a ABR Office'!H853</f>
        <v>50000</v>
      </c>
      <c r="J102" s="263">
        <f>'Form 1a ABR Office'!I853</f>
        <v>0</v>
      </c>
      <c r="K102" s="404"/>
    </row>
    <row r="103" spans="1:11" s="238" customFormat="1" ht="17.25">
      <c r="A103" s="61"/>
      <c r="B103" s="75" t="s">
        <v>404</v>
      </c>
      <c r="C103" s="66"/>
      <c r="D103" s="88"/>
      <c r="E103" s="88"/>
      <c r="F103" s="263">
        <f>'Form 1a ABR Office'!E464+'Form 1a ABR Office'!E780+'Form 1a ABR Office'!E855+'Form 1a ABR Office'!E1171+'Form 1a ABR Office'!E1260</f>
        <v>81980</v>
      </c>
      <c r="G103" s="263">
        <f>'Form 1a ABR Office'!F464+'Form 1a ABR Office'!F780+'Form 1a ABR Office'!F855+'Form 1a ABR Office'!F1171+'Form 1a ABR Office'!F1260</f>
        <v>23004</v>
      </c>
      <c r="H103" s="263">
        <f>'Form 1a ABR Office'!G464+'Form 1a ABR Office'!G780+'Form 1a ABR Office'!G855+'Form 1a ABR Office'!G1171+'Form 1a ABR Office'!G1260</f>
        <v>171996</v>
      </c>
      <c r="I103" s="263">
        <f>'Form 1a ABR Office'!H464+'Form 1a ABR Office'!H780+'Form 1a ABR Office'!H855+'Form 1a ABR Office'!H1171+'Form 1a ABR Office'!H1260</f>
        <v>195000</v>
      </c>
      <c r="J103" s="263">
        <f>'Form 1a ABR Office'!I464+'Form 1a ABR Office'!I780+'Form 1a ABR Office'!I855+'Form 1a ABR Office'!I1171+'Form 1a ABR Office'!I1260</f>
        <v>195000</v>
      </c>
      <c r="K103" s="404"/>
    </row>
    <row r="104" spans="1:11" s="238" customFormat="1" ht="17.25">
      <c r="A104" s="61"/>
      <c r="B104" s="75" t="s">
        <v>678</v>
      </c>
      <c r="C104" s="66"/>
      <c r="D104" s="88"/>
      <c r="E104" s="88"/>
      <c r="F104" s="263">
        <f>'Form 1a ABR Office'!E701+'Form 1a ABR Office'!E854</f>
        <v>0</v>
      </c>
      <c r="G104" s="263">
        <f>'Form 1a ABR Office'!F701+'Form 1a ABR Office'!F854</f>
        <v>0</v>
      </c>
      <c r="H104" s="263">
        <f>'Form 1a ABR Office'!G701+'Form 1a ABR Office'!G854</f>
        <v>10000</v>
      </c>
      <c r="I104" s="263">
        <f>'Form 1a ABR Office'!H701+'Form 1a ABR Office'!H854</f>
        <v>10000</v>
      </c>
      <c r="J104" s="263">
        <f>'Form 1a ABR Office'!I701+'Form 1a ABR Office'!I854</f>
        <v>60000</v>
      </c>
      <c r="K104" s="404"/>
    </row>
    <row r="105" spans="1:11" s="238" customFormat="1" ht="17.25">
      <c r="A105" s="61"/>
      <c r="B105" s="75" t="s">
        <v>628</v>
      </c>
      <c r="C105" s="66"/>
      <c r="D105" s="88"/>
      <c r="E105" s="88"/>
      <c r="F105" s="263"/>
      <c r="G105" s="263"/>
      <c r="H105" s="263"/>
      <c r="I105" s="263"/>
      <c r="J105" s="263">
        <f>'Form 1a ABR Office'!I702</f>
        <v>75000</v>
      </c>
      <c r="K105" s="404"/>
    </row>
    <row r="106" spans="1:11" s="238" customFormat="1" ht="17.25">
      <c r="A106" s="61"/>
      <c r="B106" s="75" t="s">
        <v>79</v>
      </c>
      <c r="C106" s="66"/>
      <c r="D106" s="88"/>
      <c r="E106" s="88"/>
      <c r="F106" s="263">
        <f>'Form 1a ABR Office'!E43</f>
        <v>4500000</v>
      </c>
      <c r="G106" s="263">
        <f>'Form 1a ABR Office'!F43</f>
        <v>3000000</v>
      </c>
      <c r="H106" s="263">
        <f>'Form 1a ABR Office'!G43</f>
        <v>3000000</v>
      </c>
      <c r="I106" s="263">
        <f>'Form 1a ABR Office'!H43</f>
        <v>6000000</v>
      </c>
      <c r="J106" s="263">
        <f>'Form 1a ABR Office'!I43</f>
        <v>6000000</v>
      </c>
      <c r="K106" s="404"/>
    </row>
    <row r="107" spans="1:11" s="238" customFormat="1" ht="17.25">
      <c r="A107" s="61"/>
      <c r="B107" s="75" t="s">
        <v>80</v>
      </c>
      <c r="C107" s="66"/>
      <c r="D107" s="88"/>
      <c r="E107" s="88"/>
      <c r="F107" s="263">
        <f>'Form 1a ABR Office'!E44</f>
        <v>47874.1</v>
      </c>
      <c r="G107" s="263">
        <f>'Form 1a ABR Office'!F44</f>
        <v>0</v>
      </c>
      <c r="H107" s="263">
        <f>'Form 1a ABR Office'!G44</f>
        <v>58000</v>
      </c>
      <c r="I107" s="263">
        <f>'Form 1a ABR Office'!H44</f>
        <v>58000</v>
      </c>
      <c r="J107" s="263">
        <f>'Form 1a ABR Office'!I44</f>
        <v>58000</v>
      </c>
      <c r="K107" s="404"/>
    </row>
    <row r="108" spans="1:11" s="238" customFormat="1" ht="18" customHeight="1">
      <c r="A108" s="61"/>
      <c r="B108" s="75" t="s">
        <v>81</v>
      </c>
      <c r="C108" s="66"/>
      <c r="D108" s="88"/>
      <c r="E108" s="88"/>
      <c r="F108" s="263">
        <f>'Form 1a ABR Office'!E166+'Form 1a ABR Office'!E238+'Form 1a ABR Office'!E309</f>
        <v>0</v>
      </c>
      <c r="G108" s="263">
        <f>'Form 1a ABR Office'!F166+'Form 1a ABR Office'!F238+'Form 1a ABR Office'!F309</f>
        <v>0</v>
      </c>
      <c r="H108" s="263">
        <f>'Form 1a ABR Office'!G166+'Form 1a ABR Office'!G238+'Form 1a ABR Office'!G309</f>
        <v>70000</v>
      </c>
      <c r="I108" s="263">
        <f>'Form 1a ABR Office'!H166+'Form 1a ABR Office'!H238+'Form 1a ABR Office'!H309</f>
        <v>70000</v>
      </c>
      <c r="J108" s="263">
        <f>'Form 1a ABR Office'!I166+'Form 1a ABR Office'!I238+'Form 1a ABR Office'!I309</f>
        <v>70000</v>
      </c>
      <c r="K108" s="404"/>
    </row>
    <row r="109" spans="1:11" s="238" customFormat="1" ht="17.25">
      <c r="A109" s="61"/>
      <c r="B109" s="285" t="s">
        <v>83</v>
      </c>
      <c r="C109" s="66"/>
      <c r="D109" s="88"/>
      <c r="E109" s="88"/>
      <c r="F109" s="263">
        <f>'Form 1a ABR Office'!E778</f>
        <v>20599.75</v>
      </c>
      <c r="G109" s="263">
        <f>'Form 1a ABR Office'!F778</f>
        <v>0</v>
      </c>
      <c r="H109" s="263">
        <f>'Form 1a ABR Office'!G778</f>
        <v>90000</v>
      </c>
      <c r="I109" s="263">
        <f>'Form 1a ABR Office'!H778</f>
        <v>90000</v>
      </c>
      <c r="J109" s="263">
        <f>'Form 1a ABR Office'!I778</f>
        <v>90000</v>
      </c>
      <c r="K109" s="404"/>
    </row>
    <row r="110" spans="1:11" s="238" customFormat="1" ht="17.25">
      <c r="A110" s="61"/>
      <c r="B110" s="75" t="s">
        <v>84</v>
      </c>
      <c r="C110" s="66"/>
      <c r="D110" s="88"/>
      <c r="E110" s="88"/>
      <c r="F110" s="263">
        <f>'Form 1a ABR Office'!E241</f>
        <v>58997</v>
      </c>
      <c r="G110" s="263">
        <f>'Form 1a ABR Office'!F241</f>
        <v>23975</v>
      </c>
      <c r="H110" s="263">
        <f>'Form 1a ABR Office'!G241</f>
        <v>476025</v>
      </c>
      <c r="I110" s="263">
        <f>'Form 1a ABR Office'!H241</f>
        <v>500000</v>
      </c>
      <c r="J110" s="263">
        <f>'Form 1a ABR Office'!I241</f>
        <v>200000</v>
      </c>
      <c r="K110" s="404"/>
    </row>
    <row r="111" spans="1:11" s="238" customFormat="1" ht="17.25">
      <c r="A111" s="61"/>
      <c r="B111" s="75" t="s">
        <v>85</v>
      </c>
      <c r="C111" s="66"/>
      <c r="D111" s="88"/>
      <c r="E111" s="88"/>
      <c r="F111" s="263">
        <f>'Form 1a ABR Office'!E783</f>
        <v>42324.5</v>
      </c>
      <c r="G111" s="263">
        <f>'Form 1a ABR Office'!F783</f>
        <v>0</v>
      </c>
      <c r="H111" s="263">
        <f>'Form 1a ABR Office'!G783</f>
        <v>100000</v>
      </c>
      <c r="I111" s="263">
        <f>'Form 1a ABR Office'!H783</f>
        <v>100000</v>
      </c>
      <c r="J111" s="263">
        <f>'Form 1a ABR Office'!I783</f>
        <v>100000</v>
      </c>
      <c r="K111" s="404"/>
    </row>
    <row r="112" spans="1:11" s="238" customFormat="1" ht="21" customHeight="1">
      <c r="A112" s="61"/>
      <c r="B112" s="75" t="s">
        <v>86</v>
      </c>
      <c r="C112" s="66"/>
      <c r="D112" s="88"/>
      <c r="E112" s="88"/>
      <c r="F112" s="263"/>
      <c r="G112" s="263"/>
      <c r="H112" s="263"/>
      <c r="I112" s="263"/>
      <c r="J112" s="665"/>
      <c r="K112" s="404"/>
    </row>
    <row r="113" spans="1:11" s="238" customFormat="1" ht="15" customHeight="1">
      <c r="A113" s="61"/>
      <c r="B113" s="75" t="s">
        <v>493</v>
      </c>
      <c r="C113" s="66"/>
      <c r="D113" s="88"/>
      <c r="E113" s="88"/>
      <c r="F113" s="263">
        <f>'Form 1a ABR Office'!E1092</f>
        <v>0</v>
      </c>
      <c r="G113" s="263">
        <f>'Form 1a ABR Office'!F1092</f>
        <v>12000</v>
      </c>
      <c r="H113" s="263">
        <f>'Form 1a ABR Office'!G1092</f>
        <v>38000</v>
      </c>
      <c r="I113" s="263">
        <f>'Form 1a ABR Office'!H1092</f>
        <v>50000</v>
      </c>
      <c r="J113" s="263">
        <f>'Form 1a ABR Office'!I1092</f>
        <v>50000</v>
      </c>
      <c r="K113" s="404"/>
    </row>
    <row r="114" spans="1:11" s="238" customFormat="1" ht="15" customHeight="1">
      <c r="A114" s="61"/>
      <c r="B114" s="75" t="s">
        <v>382</v>
      </c>
      <c r="C114" s="66"/>
      <c r="D114" s="88"/>
      <c r="E114" s="88"/>
      <c r="F114" s="263">
        <f>'Form 1a ABR Office'!E928+'Form 1a ABR Office'!E1006+'Form 1a ABR Office'!E1096+'Form 1a ABR Office'!E1172+'Form 1a ABR Office'!E782+'Form 1a ABR Office'!E47</f>
        <v>37581.16</v>
      </c>
      <c r="G114" s="263">
        <f>'Form 1a ABR Office'!F928+'Form 1a ABR Office'!F1006+'Form 1a ABR Office'!F1096+'Form 1a ABR Office'!F1172+'Form 1a ABR Office'!F782+'Form 1a ABR Office'!F47</f>
        <v>40000</v>
      </c>
      <c r="H114" s="263">
        <f>'Form 1a ABR Office'!G928+'Form 1a ABR Office'!G1006+'Form 1a ABR Office'!G1096+'Form 1a ABR Office'!G1172+'Form 1a ABR Office'!G782+'Form 1a ABR Office'!G47</f>
        <v>200850</v>
      </c>
      <c r="I114" s="263">
        <f>'Form 1a ABR Office'!H928+'Form 1a ABR Office'!H1006+'Form 1a ABR Office'!H1096+'Form 1a ABR Office'!H1172+'Form 1a ABR Office'!H782+'Form 1a ABR Office'!H47</f>
        <v>240850</v>
      </c>
      <c r="J114" s="263">
        <f>'Form 1a ABR Office'!I928+'Form 1a ABR Office'!I1006+'Form 1a ABR Office'!I1096+'Form 1a ABR Office'!I1172+'Form 1a ABR Office'!I782+'Form 1a ABR Office'!I47+'Form 1a ABR Office'!I703</f>
        <v>311850</v>
      </c>
      <c r="K114" s="404"/>
    </row>
    <row r="115" spans="1:11" s="238" customFormat="1" ht="18" customHeight="1">
      <c r="A115" s="61"/>
      <c r="B115" s="75" t="s">
        <v>87</v>
      </c>
      <c r="C115" s="66"/>
      <c r="D115" s="88"/>
      <c r="E115" s="88"/>
      <c r="F115" s="263">
        <f>'Form 1a ABR Office'!E1173</f>
        <v>43100</v>
      </c>
      <c r="G115" s="263">
        <f>'Form 1a ABR Office'!F1173</f>
        <v>0</v>
      </c>
      <c r="H115" s="263">
        <f>'Form 1a ABR Office'!G1173</f>
        <v>50000</v>
      </c>
      <c r="I115" s="263">
        <f>'Form 1a ABR Office'!H1173</f>
        <v>50000</v>
      </c>
      <c r="J115" s="263">
        <f>'Form 1a ABR Office'!I1173</f>
        <v>50000</v>
      </c>
      <c r="K115" s="404"/>
    </row>
    <row r="116" spans="1:11" s="238" customFormat="1" ht="18" customHeight="1">
      <c r="A116" s="61"/>
      <c r="B116" s="75" t="s">
        <v>267</v>
      </c>
      <c r="C116" s="66"/>
      <c r="D116" s="93"/>
      <c r="E116" s="88"/>
      <c r="F116" s="263">
        <f>'Form 1a ABR Office'!E41+'Form 1a ABR Office'!E383</f>
        <v>189631.6</v>
      </c>
      <c r="G116" s="263">
        <f>'Form 1a ABR Office'!F41+'Form 1a ABR Office'!F383</f>
        <v>52373</v>
      </c>
      <c r="H116" s="263">
        <f>'Form 1a ABR Office'!G41+'Form 1a ABR Office'!G383</f>
        <v>247627</v>
      </c>
      <c r="I116" s="263">
        <f>'Form 1a ABR Office'!H41+'Form 1a ABR Office'!H383</f>
        <v>300000</v>
      </c>
      <c r="J116" s="263">
        <f>'Form 1a ABR Office'!I41+'Form 1a ABR Office'!I383</f>
        <v>300000</v>
      </c>
      <c r="K116" s="404"/>
    </row>
    <row r="117" spans="1:11" s="238" customFormat="1" ht="18" customHeight="1">
      <c r="A117" s="61"/>
      <c r="B117" s="75" t="s">
        <v>259</v>
      </c>
      <c r="C117" s="66"/>
      <c r="D117" s="93"/>
      <c r="E117" s="88"/>
      <c r="F117" s="263">
        <v>133781</v>
      </c>
      <c r="G117" s="263">
        <v>72093</v>
      </c>
      <c r="H117" s="263">
        <v>77907</v>
      </c>
      <c r="I117" s="263">
        <v>150000</v>
      </c>
      <c r="J117" s="263">
        <v>150000</v>
      </c>
      <c r="K117" s="404"/>
    </row>
    <row r="118" spans="1:11" s="238" customFormat="1" ht="18" customHeight="1">
      <c r="A118" s="61"/>
      <c r="B118" s="75" t="s">
        <v>403</v>
      </c>
      <c r="C118" s="66"/>
      <c r="D118" s="93"/>
      <c r="E118" s="88"/>
      <c r="F118" s="263">
        <f>'Form 1a ABR Office'!E465</f>
        <v>18670</v>
      </c>
      <c r="G118" s="263">
        <f>'Form 1a ABR Office'!F465</f>
        <v>0</v>
      </c>
      <c r="H118" s="263">
        <f>'Form 1a ABR Office'!G465</f>
        <v>100000</v>
      </c>
      <c r="I118" s="263">
        <f>'Form 1a ABR Office'!H465</f>
        <v>100000</v>
      </c>
      <c r="J118" s="263">
        <f>'Form 1a ABR Office'!I465</f>
        <v>77000</v>
      </c>
      <c r="K118" s="404"/>
    </row>
    <row r="119" spans="1:11" s="238" customFormat="1" ht="18" customHeight="1">
      <c r="A119" s="61"/>
      <c r="B119" s="75" t="s">
        <v>680</v>
      </c>
      <c r="C119" s="66"/>
      <c r="D119" s="93"/>
      <c r="E119" s="88"/>
      <c r="F119" s="263"/>
      <c r="G119" s="1020"/>
      <c r="H119" s="263"/>
      <c r="I119" s="263"/>
      <c r="J119" s="263">
        <v>50000</v>
      </c>
      <c r="K119" s="404"/>
    </row>
    <row r="120" spans="1:11" s="238" customFormat="1" ht="12.75" customHeight="1">
      <c r="A120" s="1045" t="s">
        <v>88</v>
      </c>
      <c r="B120" s="1046"/>
      <c r="C120" s="1047"/>
      <c r="D120" s="93"/>
      <c r="E120" s="283"/>
      <c r="F120" s="284"/>
      <c r="G120" s="94"/>
      <c r="H120" s="286"/>
      <c r="I120" s="286"/>
      <c r="J120" s="940"/>
      <c r="K120" s="404"/>
    </row>
    <row r="121" spans="1:12" s="238" customFormat="1" ht="27" customHeight="1">
      <c r="A121" s="1045"/>
      <c r="B121" s="1046"/>
      <c r="C121" s="1047"/>
      <c r="D121" s="93"/>
      <c r="E121" s="274"/>
      <c r="F121" s="287">
        <f>F84+F85+F86+F87+F88+F89+F94+F95+F96+F97+F98+F99+F100+F101+F102+F103+F104+F106+F107+F108+F109+F110+F111+F112+F113+F114+F115+F116+F118+F117</f>
        <v>15398592.280000001</v>
      </c>
      <c r="G121" s="287">
        <f>G84+G85+G86+G87+G88+G89+G94+G95+G96+G97+G98+G99+G100+G101+G102+G103+G104+G106+G107+G108+G109+G110+G111+G112+G113+G114+G115+G116+G118+G117</f>
        <v>6518808.49</v>
      </c>
      <c r="H121" s="287">
        <f>H84+H85+H86+H87+H88+H89+H94+H95+H96+H97+H98+H99+H100+H101+H102+H103+H104+H106+H107+H108+H109+H110+H111+H112+H113+H114+H115+H116+H118+H117</f>
        <v>15702041.51</v>
      </c>
      <c r="I121" s="287">
        <f>I84+I85+I86+I87+I88+I89+I94+I95+I96+I97+I98+I99+I100+I101+I102+I103+I104+I106+I107+I108+I109+I110+I111+I112+I113+I114+I115+I116+I118+I117</f>
        <v>22220850</v>
      </c>
      <c r="J121" s="287">
        <f>J84+J85+J86+J87+J88+J89+J94+J95+J96+J97+J98+J99+J100+J101+J102+J103+J104+J106+J107+J108+J109+J110+J111+J112+J113+J114+J115+J116+J118+J117+J105+J119</f>
        <v>18653850</v>
      </c>
      <c r="K121" s="404"/>
      <c r="L121" s="239"/>
    </row>
    <row r="122" spans="1:11" s="238" customFormat="1" ht="21" customHeight="1">
      <c r="A122" s="95"/>
      <c r="B122" s="166" t="s">
        <v>89</v>
      </c>
      <c r="C122" s="288"/>
      <c r="D122" s="88"/>
      <c r="E122" s="88"/>
      <c r="F122" s="665"/>
      <c r="G122" s="665"/>
      <c r="H122" s="665"/>
      <c r="I122" s="665"/>
      <c r="J122" s="665"/>
      <c r="K122" s="404"/>
    </row>
    <row r="123" spans="1:11" s="238" customFormat="1" ht="17.25">
      <c r="A123" s="95"/>
      <c r="B123" s="60" t="s">
        <v>90</v>
      </c>
      <c r="C123" s="66"/>
      <c r="D123" s="88"/>
      <c r="E123" s="88"/>
      <c r="F123" s="263">
        <f>'Form 1a ABR Office'!E51+'Form 1a ABR Office'!E175+'Form 1a ABR Office'!E247+'Form 1a ABR Office'!E315+'Form 1a ABR Office'!E391+'Form 1a ABR Office'!E470+'Form 1a ABR Office'!E556+'Form 1a ABR Office'!E629+'Form 1a ABR Office'!E708+'Form 1a ABR Office'!E791+'Form 1a ABR Office'!E860+'Form 1a ABR Office'!E933+'Form 1a ABR Office'!E1101+'Form 1a ABR Office'!E1179+'Form 1a ABR Office'!E1268</f>
        <v>484756.86</v>
      </c>
      <c r="G123" s="263">
        <f>'Form 1a ABR Office'!F51+'Form 1a ABR Office'!F175+'Form 1a ABR Office'!F247+'Form 1a ABR Office'!F315+'Form 1a ABR Office'!F391+'Form 1a ABR Office'!F470+'Form 1a ABR Office'!F556+'Form 1a ABR Office'!F629+'Form 1a ABR Office'!F708+'Form 1a ABR Office'!F791+'Form 1a ABR Office'!F860+'Form 1a ABR Office'!F933+'Form 1a ABR Office'!F1101+'Form 1a ABR Office'!F1179+'Form 1a ABR Office'!F1268</f>
        <v>18500</v>
      </c>
      <c r="H123" s="263">
        <f>'Form 1a ABR Office'!G51+'Form 1a ABR Office'!G175+'Form 1a ABR Office'!G247+'Form 1a ABR Office'!G315+'Form 1a ABR Office'!G391+'Form 1a ABR Office'!G470+'Form 1a ABR Office'!G556+'Form 1a ABR Office'!G629+'Form 1a ABR Office'!G708+'Form 1a ABR Office'!G791+'Form 1a ABR Office'!G860+'Form 1a ABR Office'!G933+'Form 1a ABR Office'!G1101+'Form 1a ABR Office'!G1179+'Form 1a ABR Office'!G1268</f>
        <v>1201500</v>
      </c>
      <c r="I123" s="263">
        <f>'Form 1a ABR Office'!H51+'Form 1a ABR Office'!H175+'Form 1a ABR Office'!H247+'Form 1a ABR Office'!H315+'Form 1a ABR Office'!H391+'Form 1a ABR Office'!H470+'Form 1a ABR Office'!H556+'Form 1a ABR Office'!H629+'Form 1a ABR Office'!H708+'Form 1a ABR Office'!H791+'Form 1a ABR Office'!H860+'Form 1a ABR Office'!H933+'Form 1a ABR Office'!H1101+'Form 1a ABR Office'!H1179+'Form 1a ABR Office'!H1268</f>
        <v>1220000</v>
      </c>
      <c r="J123" s="263">
        <f>'Form 1a ABR Office'!I51+'Form 1a ABR Office'!I175+'Form 1a ABR Office'!I247+'Form 1a ABR Office'!I315+'Form 1a ABR Office'!I391+'Form 1a ABR Office'!I470+'Form 1a ABR Office'!I556+'Form 1a ABR Office'!I629+'Form 1a ABR Office'!I708+'Form 1a ABR Office'!I791+'Form 1a ABR Office'!I860+'Form 1a ABR Office'!I933+'Form 1a ABR Office'!I1101+'Form 1a ABR Office'!I1179+'Form 1a ABR Office'!I1268</f>
        <v>150000</v>
      </c>
      <c r="K123" s="404"/>
    </row>
    <row r="124" spans="1:11" s="238" customFormat="1" ht="17.25">
      <c r="A124" s="95"/>
      <c r="B124" s="60" t="s">
        <v>91</v>
      </c>
      <c r="C124" s="66"/>
      <c r="D124" s="88"/>
      <c r="E124" s="88"/>
      <c r="F124" s="263">
        <f>'Form 1a ABR Office'!E392+'Form 1a ABR Office'!E630+'Form 1a ABR Office'!E710+'Form 1a ABR Office'!E1181</f>
        <v>72000</v>
      </c>
      <c r="G124" s="263">
        <f>'Form 1a ABR Office'!F392+'Form 1a ABR Office'!F630+'Form 1a ABR Office'!F710+'Form 1a ABR Office'!F1181</f>
        <v>79600</v>
      </c>
      <c r="H124" s="263">
        <f>'Form 1a ABR Office'!G392+'Form 1a ABR Office'!G630+'Form 1a ABR Office'!G710+'Form 1a ABR Office'!G1181</f>
        <v>70400</v>
      </c>
      <c r="I124" s="263">
        <f>'Form 1a ABR Office'!H392+'Form 1a ABR Office'!H630+'Form 1a ABR Office'!H710+'Form 1a ABR Office'!H1181</f>
        <v>150000</v>
      </c>
      <c r="J124" s="263">
        <f>'Form 1a ABR Office'!I392+'Form 1a ABR Office'!I630+'Form 1a ABR Office'!I710+'Form 1a ABR Office'!I1181</f>
        <v>0</v>
      </c>
      <c r="K124" s="404"/>
    </row>
    <row r="125" spans="1:11" s="238" customFormat="1" ht="17.25">
      <c r="A125" s="95"/>
      <c r="B125" s="75" t="s">
        <v>92</v>
      </c>
      <c r="C125" s="66"/>
      <c r="D125" s="88"/>
      <c r="E125" s="88"/>
      <c r="F125" s="263">
        <f>'Form 1a ABR Office'!E52+'Form 1a ABR Office'!E174+'Form 1a ABR Office'!E248+'Form 1a ABR Office'!E316+'Form 1a ABR Office'!E393+'Form 1a ABR Office'!E471+'Form 1a ABR Office'!E557+'Form 1a ABR Office'!E631+'Form 1a ABR Office'!E709+'Form 1a ABR Office'!E792+'Form 1a ABR Office'!E934+'Form 1a ABR Office'!E1010+'Form 1a ABR Office'!E1102+'Form 1a ABR Office'!E1180+'Form 1a ABR Office'!E1267</f>
        <v>913005</v>
      </c>
      <c r="G125" s="263">
        <f>'Form 1a ABR Office'!F52+'Form 1a ABR Office'!F174+'Form 1a ABR Office'!F248+'Form 1a ABR Office'!F316+'Form 1a ABR Office'!F393+'Form 1a ABR Office'!F471+'Form 1a ABR Office'!F557+'Form 1a ABR Office'!F631+'Form 1a ABR Office'!F709+'Form 1a ABR Office'!F792+'Form 1a ABR Office'!F934+'Form 1a ABR Office'!F1010+'Form 1a ABR Office'!F1102+'Form 1a ABR Office'!F1180+'Form 1a ABR Office'!F1267</f>
        <v>249126</v>
      </c>
      <c r="H125" s="263">
        <f>'Form 1a ABR Office'!G52+'Form 1a ABR Office'!G174+'Form 1a ABR Office'!G248+'Form 1a ABR Office'!G316+'Form 1a ABR Office'!G393+'Form 1a ABR Office'!G471+'Form 1a ABR Office'!G557+'Form 1a ABR Office'!G631+'Form 1a ABR Office'!G709+'Form 1a ABR Office'!G792+'Form 1a ABR Office'!G934+'Form 1a ABR Office'!G1010+'Form 1a ABR Office'!G1102+'Form 1a ABR Office'!G1180+'Form 1a ABR Office'!G1267</f>
        <v>1240874</v>
      </c>
      <c r="I125" s="263">
        <f>'Form 1a ABR Office'!H52+'Form 1a ABR Office'!H174+'Form 1a ABR Office'!H248+'Form 1a ABR Office'!H316+'Form 1a ABR Office'!H393+'Form 1a ABR Office'!H471+'Form 1a ABR Office'!H557+'Form 1a ABR Office'!H631+'Form 1a ABR Office'!H709+'Form 1a ABR Office'!H792+'Form 1a ABR Office'!H934+'Form 1a ABR Office'!H1010+'Form 1a ABR Office'!H1102+'Form 1a ABR Office'!H1180+'Form 1a ABR Office'!H1267</f>
        <v>1490000</v>
      </c>
      <c r="J125" s="263">
        <f>'Form 1a ABR Office'!I52+'Form 1a ABR Office'!I174+'Form 1a ABR Office'!I248+'Form 1a ABR Office'!I316+'Form 1a ABR Office'!I393+'Form 1a ABR Office'!I471+'Form 1a ABR Office'!I557+'Form 1a ABR Office'!I631+'Form 1a ABR Office'!I709+'Form 1a ABR Office'!I792+'Form 1a ABR Office'!I934+'Form 1a ABR Office'!I1010+'Form 1a ABR Office'!I1102+'Form 1a ABR Office'!I1180+'Form 1a ABR Office'!I1267</f>
        <v>0</v>
      </c>
      <c r="K125" s="404"/>
    </row>
    <row r="126" spans="1:11" s="238" customFormat="1" ht="17.25">
      <c r="A126" s="95"/>
      <c r="B126" s="60" t="s">
        <v>93</v>
      </c>
      <c r="C126" s="66"/>
      <c r="D126" s="88"/>
      <c r="E126" s="88"/>
      <c r="F126" s="263">
        <f>'Form 1a ABR Office'!E53+'Form 1a ABR Office'!E176+'Form 1a ABR Office'!E790</f>
        <v>1698888</v>
      </c>
      <c r="G126" s="263">
        <f>'Form 1a ABR Office'!F53+'Form 1a ABR Office'!F176+'Form 1a ABR Office'!F790</f>
        <v>185000</v>
      </c>
      <c r="H126" s="263">
        <f>'Form 1a ABR Office'!G53+'Form 1a ABR Office'!G176+'Form 1a ABR Office'!G790</f>
        <v>2306000</v>
      </c>
      <c r="I126" s="263">
        <f>'Form 1a ABR Office'!H53+'Form 1a ABR Office'!H176+'Form 1a ABR Office'!H790</f>
        <v>2491000</v>
      </c>
      <c r="J126" s="263">
        <f>'Form 1a ABR Office'!I53+'Form 1a ABR Office'!I176+'Form 1a ABR Office'!I790</f>
        <v>0</v>
      </c>
      <c r="K126" s="404"/>
    </row>
    <row r="127" spans="1:11" s="238" customFormat="1" ht="20.25">
      <c r="A127" s="95"/>
      <c r="B127" s="289" t="s">
        <v>94</v>
      </c>
      <c r="C127" s="288"/>
      <c r="D127" s="290"/>
      <c r="E127" s="290"/>
      <c r="F127" s="86">
        <f>SUM(F123:F126)</f>
        <v>3168649.86</v>
      </c>
      <c r="G127" s="86">
        <f>SUM(G123:G126)</f>
        <v>532226</v>
      </c>
      <c r="H127" s="86">
        <f>SUM(H123:H126)</f>
        <v>4818774</v>
      </c>
      <c r="I127" s="86">
        <f>SUM(I123:I126)</f>
        <v>5351000</v>
      </c>
      <c r="J127" s="86">
        <f>SUM(J123:J126)</f>
        <v>150000</v>
      </c>
      <c r="K127" s="404"/>
    </row>
    <row r="128" spans="1:11" s="235" customFormat="1" ht="20.25">
      <c r="A128" s="1081" t="s">
        <v>95</v>
      </c>
      <c r="B128" s="1082"/>
      <c r="C128" s="1083"/>
      <c r="D128" s="291"/>
      <c r="E128" s="292"/>
      <c r="F128" s="96">
        <f>F127+F121+F80</f>
        <v>102822051.71000001</v>
      </c>
      <c r="G128" s="96">
        <f>G127+G121+G80</f>
        <v>46739677.38000001</v>
      </c>
      <c r="H128" s="96">
        <f>H127+H121+H80</f>
        <v>72714866.09</v>
      </c>
      <c r="I128" s="293">
        <f>I127+I121+I80</f>
        <v>119454543.47000001</v>
      </c>
      <c r="J128" s="941">
        <f>J127+J121+J80</f>
        <v>119708810.05249901</v>
      </c>
      <c r="K128" s="677"/>
    </row>
    <row r="129" spans="1:11" s="235" customFormat="1" ht="20.25" customHeight="1">
      <c r="A129" s="294"/>
      <c r="B129" s="295"/>
      <c r="C129" s="295"/>
      <c r="D129" s="296"/>
      <c r="E129" s="296"/>
      <c r="F129" s="297"/>
      <c r="G129" s="297"/>
      <c r="H129" s="297"/>
      <c r="I129" s="297"/>
      <c r="J129" s="942"/>
      <c r="K129" s="677"/>
    </row>
    <row r="130" spans="1:11" s="235" customFormat="1" ht="17.25">
      <c r="A130" s="71" t="s">
        <v>562</v>
      </c>
      <c r="B130" s="81"/>
      <c r="C130" s="81"/>
      <c r="D130" s="298"/>
      <c r="E130" s="97"/>
      <c r="F130" s="675"/>
      <c r="G130" s="675"/>
      <c r="H130" s="675"/>
      <c r="I130" s="676"/>
      <c r="J130" s="676"/>
      <c r="K130" s="677"/>
    </row>
    <row r="131" spans="1:11" s="235" customFormat="1" ht="18.75">
      <c r="A131" s="325" t="s">
        <v>96</v>
      </c>
      <c r="B131" s="405"/>
      <c r="C131" s="300"/>
      <c r="D131" s="301"/>
      <c r="E131" s="298"/>
      <c r="F131" s="302">
        <v>8169167.39</v>
      </c>
      <c r="G131" s="303">
        <v>2585774.27</v>
      </c>
      <c r="H131" s="303">
        <v>3614225.73</v>
      </c>
      <c r="I131" s="304">
        <v>6200000</v>
      </c>
      <c r="J131" s="1022">
        <v>6200000</v>
      </c>
      <c r="K131" s="677"/>
    </row>
    <row r="132" spans="1:11" s="235" customFormat="1" ht="18.75">
      <c r="A132" s="325" t="s">
        <v>384</v>
      </c>
      <c r="B132" s="405"/>
      <c r="C132" s="300"/>
      <c r="D132" s="301"/>
      <c r="E132" s="298"/>
      <c r="F132" s="302">
        <v>40500</v>
      </c>
      <c r="G132" s="303">
        <v>10500</v>
      </c>
      <c r="H132" s="303">
        <v>39500</v>
      </c>
      <c r="I132" s="304">
        <v>50000</v>
      </c>
      <c r="J132" s="1022">
        <v>50000</v>
      </c>
      <c r="K132" s="677"/>
    </row>
    <row r="133" spans="1:11" s="235" customFormat="1" ht="18.75">
      <c r="A133" s="325" t="s">
        <v>263</v>
      </c>
      <c r="B133" s="405"/>
      <c r="C133" s="300"/>
      <c r="D133" s="301"/>
      <c r="E133" s="298"/>
      <c r="F133" s="302">
        <v>6969439.59</v>
      </c>
      <c r="G133" s="303">
        <v>3416440</v>
      </c>
      <c r="H133" s="303">
        <v>3433560</v>
      </c>
      <c r="I133" s="304">
        <v>6850000</v>
      </c>
      <c r="J133" s="1022">
        <v>5000000</v>
      </c>
      <c r="K133" s="677"/>
    </row>
    <row r="134" spans="1:11" s="235" customFormat="1" ht="18.75">
      <c r="A134" s="325" t="s">
        <v>97</v>
      </c>
      <c r="B134" s="405"/>
      <c r="C134" s="300"/>
      <c r="D134" s="301"/>
      <c r="E134" s="298"/>
      <c r="F134" s="302">
        <v>372364.29</v>
      </c>
      <c r="G134" s="303">
        <v>119718.39</v>
      </c>
      <c r="H134" s="303">
        <v>80281.61</v>
      </c>
      <c r="I134" s="304">
        <v>200000</v>
      </c>
      <c r="J134" s="1022">
        <v>300000</v>
      </c>
      <c r="K134" s="677"/>
    </row>
    <row r="135" spans="1:11" s="235" customFormat="1" ht="18.75">
      <c r="A135" s="325" t="s">
        <v>99</v>
      </c>
      <c r="B135" s="405"/>
      <c r="C135" s="300"/>
      <c r="D135" s="301"/>
      <c r="E135" s="298"/>
      <c r="F135" s="302">
        <v>1988030</v>
      </c>
      <c r="G135" s="303">
        <v>440657</v>
      </c>
      <c r="H135" s="303">
        <v>1559343</v>
      </c>
      <c r="I135" s="304">
        <v>2000000</v>
      </c>
      <c r="J135" s="1022">
        <v>3000000</v>
      </c>
      <c r="K135" s="677"/>
    </row>
    <row r="136" spans="1:11" s="235" customFormat="1" ht="18.75">
      <c r="A136" s="325" t="s">
        <v>100</v>
      </c>
      <c r="B136" s="405"/>
      <c r="C136" s="300"/>
      <c r="D136" s="301"/>
      <c r="E136" s="298"/>
      <c r="F136" s="302">
        <v>644859.4</v>
      </c>
      <c r="G136" s="303">
        <v>4248.19</v>
      </c>
      <c r="H136" s="303">
        <v>145751.81</v>
      </c>
      <c r="I136" s="304">
        <v>150000</v>
      </c>
      <c r="J136" s="1022">
        <v>50000</v>
      </c>
      <c r="K136" s="677"/>
    </row>
    <row r="137" spans="1:11" s="235" customFormat="1" ht="18.75">
      <c r="A137" s="325" t="s">
        <v>102</v>
      </c>
      <c r="B137" s="405"/>
      <c r="C137" s="300"/>
      <c r="D137" s="301"/>
      <c r="E137" s="298"/>
      <c r="F137" s="302"/>
      <c r="G137" s="303"/>
      <c r="H137" s="303">
        <v>16000</v>
      </c>
      <c r="I137" s="304">
        <v>16000</v>
      </c>
      <c r="J137" s="1022">
        <v>16000</v>
      </c>
      <c r="K137" s="677"/>
    </row>
    <row r="138" spans="1:11" s="235" customFormat="1" ht="18.75">
      <c r="A138" s="325" t="s">
        <v>103</v>
      </c>
      <c r="B138" s="405"/>
      <c r="C138" s="300"/>
      <c r="D138" s="301"/>
      <c r="E138" s="298"/>
      <c r="F138" s="302">
        <v>97350</v>
      </c>
      <c r="G138" s="303"/>
      <c r="H138" s="303">
        <v>100000</v>
      </c>
      <c r="I138" s="304">
        <v>100000</v>
      </c>
      <c r="J138" s="1022">
        <v>100000</v>
      </c>
      <c r="K138" s="677"/>
    </row>
    <row r="139" spans="1:11" s="235" customFormat="1" ht="18.75">
      <c r="A139" s="325" t="s">
        <v>104</v>
      </c>
      <c r="B139" s="405"/>
      <c r="C139" s="300"/>
      <c r="D139" s="301"/>
      <c r="E139" s="298"/>
      <c r="F139" s="302">
        <v>171600</v>
      </c>
      <c r="G139" s="303">
        <v>148000</v>
      </c>
      <c r="H139" s="303">
        <v>52000</v>
      </c>
      <c r="I139" s="304">
        <v>200000</v>
      </c>
      <c r="J139" s="1022">
        <v>200000</v>
      </c>
      <c r="K139" s="677"/>
    </row>
    <row r="140" spans="1:11" s="235" customFormat="1" ht="18.75">
      <c r="A140" s="325" t="s">
        <v>106</v>
      </c>
      <c r="B140" s="405"/>
      <c r="C140" s="300"/>
      <c r="D140" s="301"/>
      <c r="E140" s="298"/>
      <c r="F140" s="302"/>
      <c r="G140" s="303"/>
      <c r="H140" s="303">
        <v>250000</v>
      </c>
      <c r="I140" s="304">
        <v>250000</v>
      </c>
      <c r="J140" s="1022">
        <v>250000</v>
      </c>
      <c r="K140" s="677"/>
    </row>
    <row r="141" spans="1:11" s="235" customFormat="1" ht="18.75">
      <c r="A141" s="325" t="s">
        <v>107</v>
      </c>
      <c r="B141" s="405"/>
      <c r="C141" s="300"/>
      <c r="D141" s="301"/>
      <c r="E141" s="298"/>
      <c r="F141" s="302">
        <v>123370</v>
      </c>
      <c r="G141" s="303">
        <v>17800</v>
      </c>
      <c r="H141" s="303">
        <v>482200</v>
      </c>
      <c r="I141" s="304">
        <v>500000</v>
      </c>
      <c r="J141" s="1022">
        <v>500000</v>
      </c>
      <c r="K141" s="677"/>
    </row>
    <row r="142" spans="1:11" s="235" customFormat="1" ht="18.75">
      <c r="A142" s="325" t="s">
        <v>389</v>
      </c>
      <c r="B142" s="405"/>
      <c r="C142" s="300"/>
      <c r="D142" s="301"/>
      <c r="E142" s="298"/>
      <c r="F142" s="302"/>
      <c r="G142" s="303"/>
      <c r="H142" s="303"/>
      <c r="I142" s="304"/>
      <c r="J142" s="1022">
        <v>150000</v>
      </c>
      <c r="K142" s="677"/>
    </row>
    <row r="143" spans="1:11" s="235" customFormat="1" ht="18.75">
      <c r="A143" s="325" t="s">
        <v>308</v>
      </c>
      <c r="B143" s="405"/>
      <c r="C143" s="300"/>
      <c r="D143" s="301"/>
      <c r="E143" s="298"/>
      <c r="F143" s="302">
        <v>150000</v>
      </c>
      <c r="G143" s="303"/>
      <c r="H143" s="303">
        <v>150000</v>
      </c>
      <c r="I143" s="304">
        <v>150000</v>
      </c>
      <c r="J143" s="1022">
        <v>200000</v>
      </c>
      <c r="K143" s="677"/>
    </row>
    <row r="144" spans="1:11" s="235" customFormat="1" ht="18.75">
      <c r="A144" s="325" t="s">
        <v>109</v>
      </c>
      <c r="B144" s="405"/>
      <c r="C144" s="300"/>
      <c r="D144" s="301"/>
      <c r="E144" s="298"/>
      <c r="F144" s="302">
        <v>6875</v>
      </c>
      <c r="G144" s="303"/>
      <c r="H144" s="303">
        <v>50000</v>
      </c>
      <c r="I144" s="304">
        <v>50000</v>
      </c>
      <c r="J144" s="1022">
        <v>50000</v>
      </c>
      <c r="K144" s="677"/>
    </row>
    <row r="145" spans="1:11" s="235" customFormat="1" ht="18.75">
      <c r="A145" s="325" t="s">
        <v>293</v>
      </c>
      <c r="B145" s="405"/>
      <c r="C145" s="300"/>
      <c r="D145" s="301"/>
      <c r="E145" s="298"/>
      <c r="F145" s="302">
        <v>124000</v>
      </c>
      <c r="G145" s="303"/>
      <c r="H145" s="303">
        <v>150000</v>
      </c>
      <c r="I145" s="304">
        <v>150000</v>
      </c>
      <c r="J145" s="1022">
        <v>150000</v>
      </c>
      <c r="K145" s="677"/>
    </row>
    <row r="146" spans="1:11" s="235" customFormat="1" ht="18.75">
      <c r="A146" s="325" t="s">
        <v>110</v>
      </c>
      <c r="B146" s="405"/>
      <c r="C146" s="300"/>
      <c r="D146" s="301"/>
      <c r="E146" s="298"/>
      <c r="F146" s="302">
        <v>244560</v>
      </c>
      <c r="G146" s="303"/>
      <c r="H146" s="303">
        <v>150000</v>
      </c>
      <c r="I146" s="304">
        <v>150000</v>
      </c>
      <c r="J146" s="1022">
        <v>150000</v>
      </c>
      <c r="K146" s="677"/>
    </row>
    <row r="147" spans="1:11" s="235" customFormat="1" ht="18.75">
      <c r="A147" s="325" t="s">
        <v>257</v>
      </c>
      <c r="B147" s="405"/>
      <c r="C147" s="300"/>
      <c r="D147" s="301"/>
      <c r="E147" s="298"/>
      <c r="F147" s="302">
        <v>996771.6</v>
      </c>
      <c r="G147" s="303">
        <v>319737.76</v>
      </c>
      <c r="H147" s="303">
        <v>1180262.24</v>
      </c>
      <c r="I147" s="304">
        <v>1500000</v>
      </c>
      <c r="J147" s="1022">
        <v>2000000</v>
      </c>
      <c r="K147" s="677"/>
    </row>
    <row r="148" spans="1:11" s="235" customFormat="1" ht="18.75">
      <c r="A148" s="325" t="s">
        <v>258</v>
      </c>
      <c r="B148" s="405"/>
      <c r="C148" s="300"/>
      <c r="D148" s="301"/>
      <c r="E148" s="298"/>
      <c r="F148" s="302">
        <v>59500</v>
      </c>
      <c r="G148" s="303">
        <v>59200</v>
      </c>
      <c r="H148" s="303">
        <v>800</v>
      </c>
      <c r="I148" s="304">
        <v>60000</v>
      </c>
      <c r="J148" s="1022">
        <v>60000</v>
      </c>
      <c r="K148" s="677"/>
    </row>
    <row r="149" spans="1:11" s="235" customFormat="1" ht="18.75">
      <c r="A149" s="325" t="s">
        <v>459</v>
      </c>
      <c r="B149" s="405"/>
      <c r="C149" s="300"/>
      <c r="D149" s="301"/>
      <c r="E149" s="298"/>
      <c r="F149" s="302"/>
      <c r="G149" s="303">
        <v>0</v>
      </c>
      <c r="H149" s="303">
        <v>3945067</v>
      </c>
      <c r="I149" s="304">
        <v>3945067</v>
      </c>
      <c r="J149" s="1022">
        <v>2900000</v>
      </c>
      <c r="K149" s="677"/>
    </row>
    <row r="150" spans="1:11" s="235" customFormat="1" ht="18.75">
      <c r="A150" s="325" t="s">
        <v>460</v>
      </c>
      <c r="B150" s="405"/>
      <c r="C150" s="300"/>
      <c r="D150" s="301"/>
      <c r="E150" s="298"/>
      <c r="F150" s="302"/>
      <c r="G150" s="303">
        <v>140636.57</v>
      </c>
      <c r="H150" s="303">
        <v>1661194.43</v>
      </c>
      <c r="I150" s="304">
        <v>1801831</v>
      </c>
      <c r="J150" s="1022">
        <v>1600000</v>
      </c>
      <c r="K150" s="677"/>
    </row>
    <row r="151" spans="1:11" s="235" customFormat="1" ht="18.75">
      <c r="A151" s="325" t="s">
        <v>291</v>
      </c>
      <c r="B151" s="405"/>
      <c r="C151" s="300"/>
      <c r="D151" s="301"/>
      <c r="E151" s="298"/>
      <c r="F151" s="302">
        <v>15029508.45</v>
      </c>
      <c r="G151" s="303">
        <v>7512160</v>
      </c>
      <c r="H151" s="303">
        <v>7287840</v>
      </c>
      <c r="I151" s="304">
        <v>14800000</v>
      </c>
      <c r="J151" s="1022">
        <v>13000000</v>
      </c>
      <c r="K151" s="677"/>
    </row>
    <row r="152" spans="1:11" s="235" customFormat="1" ht="18.75">
      <c r="A152" s="325" t="s">
        <v>287</v>
      </c>
      <c r="B152" s="405"/>
      <c r="C152" s="300"/>
      <c r="D152" s="301"/>
      <c r="E152" s="298"/>
      <c r="F152" s="302">
        <v>420350</v>
      </c>
      <c r="G152" s="304">
        <v>186000</v>
      </c>
      <c r="H152" s="304">
        <v>634000</v>
      </c>
      <c r="I152" s="304">
        <v>820000</v>
      </c>
      <c r="J152" s="1022">
        <v>800000</v>
      </c>
      <c r="K152" s="677"/>
    </row>
    <row r="153" spans="1:11" s="235" customFormat="1" ht="18.75">
      <c r="A153" s="325" t="s">
        <v>295</v>
      </c>
      <c r="B153" s="405"/>
      <c r="C153" s="300"/>
      <c r="D153" s="301"/>
      <c r="E153" s="298"/>
      <c r="F153" s="302">
        <v>393345</v>
      </c>
      <c r="G153" s="304"/>
      <c r="H153" s="304">
        <v>100000</v>
      </c>
      <c r="I153" s="304">
        <v>100000</v>
      </c>
      <c r="J153" s="1022">
        <v>100000</v>
      </c>
      <c r="K153" s="677"/>
    </row>
    <row r="154" spans="1:11" s="235" customFormat="1" ht="18.75">
      <c r="A154" s="325" t="s">
        <v>461</v>
      </c>
      <c r="B154" s="405"/>
      <c r="C154" s="300"/>
      <c r="D154" s="301"/>
      <c r="E154" s="298"/>
      <c r="F154" s="302">
        <v>97035</v>
      </c>
      <c r="G154" s="303">
        <v>117396</v>
      </c>
      <c r="H154" s="303">
        <v>882604</v>
      </c>
      <c r="I154" s="304">
        <v>1000000</v>
      </c>
      <c r="J154" s="1022">
        <v>500000</v>
      </c>
      <c r="K154" s="677"/>
    </row>
    <row r="155" spans="1:11" s="235" customFormat="1" ht="18.75">
      <c r="A155" s="325" t="s">
        <v>564</v>
      </c>
      <c r="B155" s="405"/>
      <c r="C155" s="300"/>
      <c r="D155" s="301"/>
      <c r="E155" s="298"/>
      <c r="F155" s="302">
        <v>148900</v>
      </c>
      <c r="G155" s="303">
        <v>135000</v>
      </c>
      <c r="H155" s="303">
        <v>15000</v>
      </c>
      <c r="I155" s="304">
        <v>150000</v>
      </c>
      <c r="J155" s="1022">
        <v>250000</v>
      </c>
      <c r="K155" s="677"/>
    </row>
    <row r="156" spans="1:11" s="235" customFormat="1" ht="18.75">
      <c r="A156" s="325" t="s">
        <v>98</v>
      </c>
      <c r="B156" s="405"/>
      <c r="C156" s="300"/>
      <c r="D156" s="301"/>
      <c r="E156" s="298"/>
      <c r="F156" s="302">
        <v>98213</v>
      </c>
      <c r="G156" s="303"/>
      <c r="H156" s="303">
        <v>200000</v>
      </c>
      <c r="I156" s="304">
        <v>200000</v>
      </c>
      <c r="J156" s="1022"/>
      <c r="K156" s="677"/>
    </row>
    <row r="157" spans="1:11" s="235" customFormat="1" ht="18.75">
      <c r="A157" s="325" t="s">
        <v>108</v>
      </c>
      <c r="B157" s="405"/>
      <c r="C157" s="300"/>
      <c r="D157" s="301"/>
      <c r="E157" s="298"/>
      <c r="F157" s="302">
        <v>760493</v>
      </c>
      <c r="G157" s="303"/>
      <c r="H157" s="303">
        <v>0</v>
      </c>
      <c r="I157" s="304"/>
      <c r="J157" s="1022"/>
      <c r="K157" s="677"/>
    </row>
    <row r="158" spans="1:11" s="235" customFormat="1" ht="18.75">
      <c r="A158" s="325" t="s">
        <v>388</v>
      </c>
      <c r="B158" s="405"/>
      <c r="C158" s="300"/>
      <c r="D158" s="301"/>
      <c r="E158" s="298"/>
      <c r="F158" s="302">
        <v>2986160</v>
      </c>
      <c r="G158" s="303"/>
      <c r="H158" s="303">
        <v>0</v>
      </c>
      <c r="I158" s="304"/>
      <c r="J158" s="1022"/>
      <c r="K158" s="677"/>
    </row>
    <row r="159" spans="1:11" s="235" customFormat="1" ht="18.75">
      <c r="A159" s="325" t="s">
        <v>393</v>
      </c>
      <c r="B159" s="300"/>
      <c r="C159" s="300"/>
      <c r="D159" s="301"/>
      <c r="E159" s="298"/>
      <c r="F159" s="302">
        <v>250000</v>
      </c>
      <c r="G159" s="303"/>
      <c r="H159" s="303">
        <v>0</v>
      </c>
      <c r="I159" s="304"/>
      <c r="J159" s="1022"/>
      <c r="K159" s="677"/>
    </row>
    <row r="160" spans="1:11" s="235" customFormat="1" ht="18.75">
      <c r="A160" s="325" t="s">
        <v>113</v>
      </c>
      <c r="B160" s="300"/>
      <c r="C160" s="300"/>
      <c r="D160" s="301"/>
      <c r="E160" s="298"/>
      <c r="F160" s="302">
        <v>1662750</v>
      </c>
      <c r="G160" s="303"/>
      <c r="H160" s="303">
        <v>0</v>
      </c>
      <c r="I160" s="304">
        <v>0</v>
      </c>
      <c r="J160" s="1022">
        <v>1600000</v>
      </c>
      <c r="K160" s="677"/>
    </row>
    <row r="161" spans="1:11" s="235" customFormat="1" ht="17.25">
      <c r="A161" s="325" t="s">
        <v>395</v>
      </c>
      <c r="B161" s="300"/>
      <c r="C161" s="300"/>
      <c r="D161" s="301"/>
      <c r="E161" s="298"/>
      <c r="F161" s="302">
        <v>1146331.6800000002</v>
      </c>
      <c r="G161" s="304"/>
      <c r="H161" s="304">
        <v>0</v>
      </c>
      <c r="I161" s="304"/>
      <c r="J161" s="1023"/>
      <c r="K161" s="677"/>
    </row>
    <row r="162" spans="1:11" s="235" customFormat="1" ht="18.75">
      <c r="A162" s="325" t="s">
        <v>392</v>
      </c>
      <c r="B162" s="300"/>
      <c r="C162" s="300"/>
      <c r="D162" s="305"/>
      <c r="E162" s="298"/>
      <c r="F162" s="302">
        <v>948643.09</v>
      </c>
      <c r="G162" s="303"/>
      <c r="H162" s="303">
        <v>1000000</v>
      </c>
      <c r="I162" s="304">
        <v>1000000</v>
      </c>
      <c r="J162" s="1022"/>
      <c r="K162" s="677"/>
    </row>
    <row r="163" spans="1:11" s="235" customFormat="1" ht="18.75">
      <c r="A163" s="325" t="s">
        <v>454</v>
      </c>
      <c r="B163" s="300"/>
      <c r="C163" s="300"/>
      <c r="D163" s="301"/>
      <c r="E163" s="298"/>
      <c r="F163" s="302"/>
      <c r="G163" s="303"/>
      <c r="H163" s="303">
        <v>260000</v>
      </c>
      <c r="I163" s="304">
        <v>260000</v>
      </c>
      <c r="J163" s="1022"/>
      <c r="K163" s="677"/>
    </row>
    <row r="164" spans="1:11" s="235" customFormat="1" ht="18.75">
      <c r="A164" s="325" t="s">
        <v>618</v>
      </c>
      <c r="B164" s="300"/>
      <c r="C164" s="300"/>
      <c r="D164" s="301"/>
      <c r="E164" s="298"/>
      <c r="F164" s="302"/>
      <c r="G164" s="303"/>
      <c r="H164" s="303">
        <v>550000</v>
      </c>
      <c r="I164" s="304">
        <v>550000</v>
      </c>
      <c r="J164" s="1022"/>
      <c r="K164" s="677"/>
    </row>
    <row r="165" spans="1:11" s="235" customFormat="1" ht="18.75">
      <c r="A165" s="1021" t="s">
        <v>619</v>
      </c>
      <c r="B165" s="300"/>
      <c r="C165" s="300"/>
      <c r="D165" s="301"/>
      <c r="E165" s="298"/>
      <c r="F165" s="302"/>
      <c r="G165" s="303">
        <v>18999825</v>
      </c>
      <c r="H165" s="303">
        <v>250</v>
      </c>
      <c r="I165" s="304">
        <v>19000075</v>
      </c>
      <c r="J165" s="1022"/>
      <c r="K165" s="677"/>
    </row>
    <row r="166" spans="1:11" s="235" customFormat="1" ht="18.75">
      <c r="A166" s="325" t="s">
        <v>502</v>
      </c>
      <c r="B166" s="405"/>
      <c r="C166" s="300"/>
      <c r="D166" s="301"/>
      <c r="E166" s="298"/>
      <c r="F166" s="302"/>
      <c r="G166" s="303"/>
      <c r="H166" s="303"/>
      <c r="I166" s="304"/>
      <c r="J166" s="1022">
        <v>200000</v>
      </c>
      <c r="K166" s="677"/>
    </row>
    <row r="167" spans="1:11" s="235" customFormat="1" ht="18.75">
      <c r="A167" s="325" t="s">
        <v>503</v>
      </c>
      <c r="B167" s="300"/>
      <c r="C167" s="300"/>
      <c r="D167" s="301"/>
      <c r="E167" s="298"/>
      <c r="F167" s="302"/>
      <c r="G167" s="303"/>
      <c r="H167" s="303"/>
      <c r="I167" s="304"/>
      <c r="J167" s="1022">
        <v>10400000</v>
      </c>
      <c r="K167" s="677"/>
    </row>
    <row r="168" spans="1:11" s="235" customFormat="1" ht="18.75">
      <c r="A168" s="325" t="s">
        <v>627</v>
      </c>
      <c r="B168" s="300"/>
      <c r="C168" s="300"/>
      <c r="D168" s="301"/>
      <c r="E168" s="298"/>
      <c r="F168" s="302"/>
      <c r="G168" s="303"/>
      <c r="H168" s="303"/>
      <c r="I168" s="304"/>
      <c r="J168" s="1022">
        <v>1900000</v>
      </c>
      <c r="K168" s="677"/>
    </row>
    <row r="169" spans="1:11" s="235" customFormat="1" ht="18.75">
      <c r="A169" s="325" t="s">
        <v>677</v>
      </c>
      <c r="B169" s="300"/>
      <c r="C169" s="300"/>
      <c r="D169" s="301"/>
      <c r="E169" s="298"/>
      <c r="F169" s="302"/>
      <c r="G169" s="303"/>
      <c r="H169" s="303"/>
      <c r="I169" s="304"/>
      <c r="J169" s="1022">
        <v>500000</v>
      </c>
      <c r="K169" s="677"/>
    </row>
    <row r="170" spans="1:11" s="235" customFormat="1" ht="18.75">
      <c r="A170" s="325" t="s">
        <v>101</v>
      </c>
      <c r="B170" s="300"/>
      <c r="C170" s="300"/>
      <c r="D170" s="301"/>
      <c r="E170" s="298"/>
      <c r="F170" s="302">
        <v>91150</v>
      </c>
      <c r="G170" s="303">
        <v>21200</v>
      </c>
      <c r="H170" s="303">
        <v>78800</v>
      </c>
      <c r="I170" s="304">
        <v>100000</v>
      </c>
      <c r="J170" s="1022">
        <v>100000</v>
      </c>
      <c r="K170" s="677"/>
    </row>
    <row r="171" spans="1:11" s="235" customFormat="1" ht="18.75">
      <c r="A171" s="325" t="s">
        <v>105</v>
      </c>
      <c r="B171" s="300"/>
      <c r="C171" s="300"/>
      <c r="D171" s="301"/>
      <c r="E171" s="298"/>
      <c r="F171" s="302"/>
      <c r="G171" s="303"/>
      <c r="H171" s="303">
        <v>0</v>
      </c>
      <c r="I171" s="304"/>
      <c r="J171" s="1022">
        <v>1100000</v>
      </c>
      <c r="K171" s="677"/>
    </row>
    <row r="172" spans="1:11" s="235" customFormat="1" ht="18.75">
      <c r="A172" s="325" t="s">
        <v>385</v>
      </c>
      <c r="B172" s="300"/>
      <c r="C172" s="300"/>
      <c r="D172" s="301"/>
      <c r="E172" s="298"/>
      <c r="F172" s="302">
        <v>285600</v>
      </c>
      <c r="G172" s="303"/>
      <c r="H172" s="303">
        <v>200000</v>
      </c>
      <c r="I172" s="304">
        <v>200000</v>
      </c>
      <c r="J172" s="1022">
        <v>200000</v>
      </c>
      <c r="K172" s="677"/>
    </row>
    <row r="173" spans="1:11" s="235" customFormat="1" ht="18.75">
      <c r="A173" s="325" t="s">
        <v>386</v>
      </c>
      <c r="B173" s="300"/>
      <c r="C173" s="300"/>
      <c r="D173" s="301"/>
      <c r="E173" s="298"/>
      <c r="F173" s="302">
        <v>159450</v>
      </c>
      <c r="G173" s="303">
        <v>12075</v>
      </c>
      <c r="H173" s="303">
        <v>187925</v>
      </c>
      <c r="I173" s="304">
        <v>200000</v>
      </c>
      <c r="J173" s="1022">
        <v>200000</v>
      </c>
      <c r="K173" s="677"/>
    </row>
    <row r="174" spans="1:11" s="235" customFormat="1" ht="18.75">
      <c r="A174" s="325" t="s">
        <v>387</v>
      </c>
      <c r="B174" s="300"/>
      <c r="C174" s="300"/>
      <c r="D174" s="301"/>
      <c r="E174" s="298"/>
      <c r="F174" s="302">
        <v>297825</v>
      </c>
      <c r="G174" s="303"/>
      <c r="H174" s="303">
        <v>200000</v>
      </c>
      <c r="I174" s="304">
        <v>200000</v>
      </c>
      <c r="J174" s="1022">
        <v>200000</v>
      </c>
      <c r="K174" s="677"/>
    </row>
    <row r="175" spans="1:11" s="235" customFormat="1" ht="18.75">
      <c r="A175" s="325" t="s">
        <v>112</v>
      </c>
      <c r="B175" s="300"/>
      <c r="C175" s="300"/>
      <c r="D175" s="301"/>
      <c r="E175" s="298"/>
      <c r="F175" s="302">
        <v>1050700</v>
      </c>
      <c r="G175" s="303"/>
      <c r="H175" s="303">
        <v>1200000</v>
      </c>
      <c r="I175" s="304">
        <v>1200000</v>
      </c>
      <c r="J175" s="1022">
        <v>1200000</v>
      </c>
      <c r="K175" s="677"/>
    </row>
    <row r="176" spans="1:11" s="235" customFormat="1" ht="21" customHeight="1">
      <c r="A176" s="325" t="s">
        <v>285</v>
      </c>
      <c r="B176" s="300"/>
      <c r="C176" s="300"/>
      <c r="D176" s="301"/>
      <c r="E176" s="298"/>
      <c r="F176" s="302">
        <v>1616784</v>
      </c>
      <c r="G176" s="303">
        <v>398475</v>
      </c>
      <c r="H176" s="303">
        <v>1385525</v>
      </c>
      <c r="I176" s="304">
        <v>1784000</v>
      </c>
      <c r="J176" s="1022">
        <v>1784000</v>
      </c>
      <c r="K176" s="677"/>
    </row>
    <row r="177" spans="1:11" s="235" customFormat="1" ht="18" customHeight="1">
      <c r="A177" s="325" t="s">
        <v>286</v>
      </c>
      <c r="B177" s="300"/>
      <c r="C177" s="300"/>
      <c r="D177" s="301"/>
      <c r="E177" s="298"/>
      <c r="F177" s="302">
        <v>143999.15</v>
      </c>
      <c r="G177" s="303">
        <v>44850</v>
      </c>
      <c r="H177" s="303">
        <v>139150</v>
      </c>
      <c r="I177" s="304">
        <v>184000</v>
      </c>
      <c r="J177" s="1022">
        <v>184000</v>
      </c>
      <c r="K177" s="677"/>
    </row>
    <row r="178" spans="1:11" s="235" customFormat="1" ht="18.75">
      <c r="A178" s="325" t="s">
        <v>236</v>
      </c>
      <c r="B178" s="300"/>
      <c r="C178" s="300"/>
      <c r="D178" s="301"/>
      <c r="E178" s="298"/>
      <c r="F178" s="302">
        <v>609661.5</v>
      </c>
      <c r="G178" s="303">
        <v>14350</v>
      </c>
      <c r="H178" s="303">
        <v>485650</v>
      </c>
      <c r="I178" s="304">
        <v>500000</v>
      </c>
      <c r="J178" s="1022">
        <v>500000</v>
      </c>
      <c r="K178" s="677"/>
    </row>
    <row r="179" spans="1:11" s="235" customFormat="1" ht="18.75">
      <c r="A179" s="325" t="s">
        <v>402</v>
      </c>
      <c r="B179" s="300"/>
      <c r="C179" s="300"/>
      <c r="D179" s="301"/>
      <c r="E179" s="298"/>
      <c r="F179" s="302">
        <v>188000</v>
      </c>
      <c r="G179" s="303">
        <v>123500</v>
      </c>
      <c r="H179" s="303">
        <v>152500</v>
      </c>
      <c r="I179" s="304">
        <v>276000</v>
      </c>
      <c r="J179" s="1022">
        <v>276000</v>
      </c>
      <c r="K179" s="677"/>
    </row>
    <row r="180" spans="1:11" s="235" customFormat="1" ht="18.75">
      <c r="A180" s="325" t="s">
        <v>111</v>
      </c>
      <c r="B180" s="300"/>
      <c r="C180" s="300"/>
      <c r="D180" s="301"/>
      <c r="E180" s="298"/>
      <c r="F180" s="302">
        <v>441500</v>
      </c>
      <c r="G180" s="303">
        <v>443500</v>
      </c>
      <c r="H180" s="303">
        <v>356500</v>
      </c>
      <c r="I180" s="304">
        <v>800000</v>
      </c>
      <c r="J180" s="1022">
        <v>1000000</v>
      </c>
      <c r="K180" s="677"/>
    </row>
    <row r="181" spans="1:11" s="235" customFormat="1" ht="18.75">
      <c r="A181" s="325" t="s">
        <v>390</v>
      </c>
      <c r="B181" s="300"/>
      <c r="C181" s="300"/>
      <c r="D181" s="301"/>
      <c r="E181" s="298"/>
      <c r="F181" s="302">
        <v>288000</v>
      </c>
      <c r="G181" s="303">
        <v>174750</v>
      </c>
      <c r="H181" s="303">
        <v>225250</v>
      </c>
      <c r="I181" s="304">
        <v>400000</v>
      </c>
      <c r="J181" s="1022">
        <v>400000</v>
      </c>
      <c r="K181" s="677"/>
    </row>
    <row r="182" spans="1:11" s="235" customFormat="1" ht="18.75">
      <c r="A182" s="325" t="s">
        <v>391</v>
      </c>
      <c r="B182" s="300"/>
      <c r="C182" s="300"/>
      <c r="D182" s="301"/>
      <c r="E182" s="298"/>
      <c r="F182" s="302">
        <v>100000</v>
      </c>
      <c r="G182" s="303">
        <v>18000</v>
      </c>
      <c r="H182" s="303">
        <v>282000</v>
      </c>
      <c r="I182" s="304">
        <v>300000</v>
      </c>
      <c r="J182" s="1022">
        <v>300000</v>
      </c>
      <c r="K182" s="677"/>
    </row>
    <row r="183" spans="1:11" s="235" customFormat="1" ht="18.75">
      <c r="A183" s="631" t="s">
        <v>394</v>
      </c>
      <c r="B183" s="378"/>
      <c r="C183" s="378"/>
      <c r="D183" s="379"/>
      <c r="E183" s="291"/>
      <c r="F183" s="317">
        <v>793000</v>
      </c>
      <c r="G183" s="380">
        <v>655835</v>
      </c>
      <c r="H183" s="380">
        <v>544165</v>
      </c>
      <c r="I183" s="306">
        <v>1200000</v>
      </c>
      <c r="J183" s="1024">
        <v>1200000</v>
      </c>
      <c r="K183" s="677"/>
    </row>
    <row r="184" spans="1:11" s="235" customFormat="1" ht="18.75">
      <c r="A184" s="81" t="str">
        <f>A1</f>
        <v>LBP Form No. 1</v>
      </c>
      <c r="B184" s="309"/>
      <c r="C184" s="309"/>
      <c r="D184" s="100"/>
      <c r="E184" s="100"/>
      <c r="F184" s="314"/>
      <c r="G184" s="302"/>
      <c r="H184" s="302"/>
      <c r="I184" s="302"/>
      <c r="J184" s="943"/>
      <c r="K184" s="677"/>
    </row>
    <row r="185" spans="1:11" s="235" customFormat="1" ht="18.75">
      <c r="A185" s="81" t="s">
        <v>114</v>
      </c>
      <c r="B185" s="309"/>
      <c r="C185" s="309"/>
      <c r="D185" s="100"/>
      <c r="E185" s="100"/>
      <c r="F185" s="314"/>
      <c r="G185" s="302"/>
      <c r="H185" s="302"/>
      <c r="I185" s="302"/>
      <c r="J185" s="943"/>
      <c r="K185" s="677"/>
    </row>
    <row r="186" spans="1:11" s="235" customFormat="1" ht="18.75">
      <c r="A186" s="315"/>
      <c r="B186" s="312"/>
      <c r="C186" s="312"/>
      <c r="D186" s="315"/>
      <c r="E186" s="315"/>
      <c r="F186" s="316"/>
      <c r="G186" s="317"/>
      <c r="H186" s="317"/>
      <c r="I186" s="317"/>
      <c r="J186" s="944"/>
      <c r="K186" s="677"/>
    </row>
    <row r="187" spans="1:11" s="235" customFormat="1" ht="20.25">
      <c r="A187" s="322" t="s">
        <v>134</v>
      </c>
      <c r="B187" s="100"/>
      <c r="C187" s="307"/>
      <c r="D187" s="1019"/>
      <c r="E187" s="1019"/>
      <c r="F187" s="318"/>
      <c r="G187" s="318"/>
      <c r="H187" s="318"/>
      <c r="I187" s="318"/>
      <c r="J187" s="318"/>
      <c r="K187" s="677"/>
    </row>
    <row r="188" spans="1:11" s="235" customFormat="1" ht="17.25">
      <c r="A188" s="97"/>
      <c r="B188" s="267" t="s">
        <v>135</v>
      </c>
      <c r="C188" s="328"/>
      <c r="D188" s="298"/>
      <c r="E188" s="298"/>
      <c r="F188" s="304">
        <v>191031.83</v>
      </c>
      <c r="G188" s="304">
        <v>5200</v>
      </c>
      <c r="H188" s="304">
        <v>194800</v>
      </c>
      <c r="I188" s="304">
        <v>200000</v>
      </c>
      <c r="J188" s="304">
        <v>200000</v>
      </c>
      <c r="K188" s="677"/>
    </row>
    <row r="189" spans="1:11" s="235" customFormat="1" ht="17.25">
      <c r="A189" s="97"/>
      <c r="B189" s="267" t="s">
        <v>136</v>
      </c>
      <c r="C189" s="328"/>
      <c r="D189" s="298"/>
      <c r="E189" s="298"/>
      <c r="F189" s="304">
        <v>0</v>
      </c>
      <c r="G189" s="304"/>
      <c r="H189" s="304">
        <v>50000</v>
      </c>
      <c r="I189" s="304">
        <v>50000</v>
      </c>
      <c r="J189" s="304">
        <v>50000</v>
      </c>
      <c r="K189" s="677"/>
    </row>
    <row r="190" spans="1:11" s="235" customFormat="1" ht="17.25">
      <c r="A190" s="97"/>
      <c r="B190" s="267" t="s">
        <v>137</v>
      </c>
      <c r="C190" s="328"/>
      <c r="D190" s="298"/>
      <c r="E190" s="298"/>
      <c r="F190" s="304">
        <v>90843.62</v>
      </c>
      <c r="G190" s="304">
        <v>23168</v>
      </c>
      <c r="H190" s="304">
        <v>276832</v>
      </c>
      <c r="I190" s="304">
        <v>300000</v>
      </c>
      <c r="J190" s="304">
        <v>300000</v>
      </c>
      <c r="K190" s="677"/>
    </row>
    <row r="191" spans="1:11" s="235" customFormat="1" ht="17.25">
      <c r="A191" s="97"/>
      <c r="B191" s="267" t="s">
        <v>260</v>
      </c>
      <c r="C191" s="328"/>
      <c r="D191" s="298"/>
      <c r="E191" s="298"/>
      <c r="F191" s="304">
        <v>145958.87</v>
      </c>
      <c r="G191" s="304"/>
      <c r="H191" s="304">
        <v>0</v>
      </c>
      <c r="I191" s="304">
        <v>0</v>
      </c>
      <c r="J191" s="304">
        <v>0</v>
      </c>
      <c r="K191" s="677"/>
    </row>
    <row r="192" spans="1:11" s="235" customFormat="1" ht="17.25">
      <c r="A192" s="97"/>
      <c r="B192" s="267" t="s">
        <v>237</v>
      </c>
      <c r="C192" s="328"/>
      <c r="D192" s="298"/>
      <c r="E192" s="298"/>
      <c r="F192" s="304">
        <v>169280.43</v>
      </c>
      <c r="G192" s="304">
        <v>13800</v>
      </c>
      <c r="H192" s="304">
        <v>186200</v>
      </c>
      <c r="I192" s="304">
        <v>200000</v>
      </c>
      <c r="J192" s="304">
        <v>200000</v>
      </c>
      <c r="K192" s="677"/>
    </row>
    <row r="193" spans="1:11" s="235" customFormat="1" ht="18.75" customHeight="1">
      <c r="A193" s="97"/>
      <c r="B193" s="267" t="s">
        <v>138</v>
      </c>
      <c r="C193" s="328"/>
      <c r="D193" s="298"/>
      <c r="E193" s="298"/>
      <c r="F193" s="304">
        <v>167898.71</v>
      </c>
      <c r="G193" s="304">
        <v>44218</v>
      </c>
      <c r="H193" s="304">
        <v>105782</v>
      </c>
      <c r="I193" s="304">
        <v>150000</v>
      </c>
      <c r="J193" s="304">
        <v>150000</v>
      </c>
      <c r="K193" s="677"/>
    </row>
    <row r="194" spans="1:11" s="235" customFormat="1" ht="18.75" customHeight="1">
      <c r="A194" s="97"/>
      <c r="B194" s="267" t="s">
        <v>238</v>
      </c>
      <c r="C194" s="328"/>
      <c r="D194" s="298"/>
      <c r="E194" s="298"/>
      <c r="F194" s="304">
        <v>55000</v>
      </c>
      <c r="G194" s="304">
        <v>0</v>
      </c>
      <c r="H194" s="304">
        <v>55000</v>
      </c>
      <c r="I194" s="304">
        <v>55000</v>
      </c>
      <c r="J194" s="304">
        <v>55000</v>
      </c>
      <c r="K194" s="677"/>
    </row>
    <row r="195" spans="1:11" s="235" customFormat="1" ht="18.75" customHeight="1">
      <c r="A195" s="97"/>
      <c r="B195" s="267" t="s">
        <v>239</v>
      </c>
      <c r="C195" s="328"/>
      <c r="D195" s="298"/>
      <c r="E195" s="298"/>
      <c r="F195" s="304">
        <v>144380.21</v>
      </c>
      <c r="G195" s="304">
        <v>5878</v>
      </c>
      <c r="H195" s="304">
        <v>144122</v>
      </c>
      <c r="I195" s="304">
        <v>150000</v>
      </c>
      <c r="J195" s="304">
        <v>150000</v>
      </c>
      <c r="K195" s="677"/>
    </row>
    <row r="196" spans="1:11" s="235" customFormat="1" ht="17.25">
      <c r="A196" s="97"/>
      <c r="B196" s="81" t="s">
        <v>708</v>
      </c>
      <c r="C196" s="66"/>
      <c r="D196" s="307"/>
      <c r="E196" s="292"/>
      <c r="F196" s="96">
        <f>SUM(F131:F195)</f>
        <v>51130179.809999995</v>
      </c>
      <c r="G196" s="96">
        <f>SUM(G131:G195)</f>
        <v>36211892.18</v>
      </c>
      <c r="H196" s="96">
        <f>SUM(H131:H195)</f>
        <v>34440080.82</v>
      </c>
      <c r="I196" s="96">
        <f>SUM(I131:I195)</f>
        <v>70651973</v>
      </c>
      <c r="J196" s="96">
        <f>SUM(J131:J195)</f>
        <v>61925000</v>
      </c>
      <c r="K196" s="677"/>
    </row>
    <row r="197" spans="1:11" s="235" customFormat="1" ht="18.75">
      <c r="A197" s="97"/>
      <c r="B197" s="81"/>
      <c r="C197" s="81"/>
      <c r="D197" s="298"/>
      <c r="E197" s="298"/>
      <c r="F197" s="310"/>
      <c r="G197" s="310"/>
      <c r="H197" s="310"/>
      <c r="I197" s="310"/>
      <c r="J197" s="1004"/>
      <c r="K197" s="677"/>
    </row>
    <row r="198" spans="1:11" s="235" customFormat="1" ht="18.75" customHeight="1">
      <c r="A198" s="101" t="s">
        <v>264</v>
      </c>
      <c r="B198" s="267"/>
      <c r="C198" s="328"/>
      <c r="D198" s="298"/>
      <c r="E198" s="298"/>
      <c r="F198" s="304"/>
      <c r="G198" s="304"/>
      <c r="H198" s="304"/>
      <c r="I198" s="304"/>
      <c r="J198" s="304"/>
      <c r="K198" s="677"/>
    </row>
    <row r="199" spans="1:11" s="235" customFormat="1" ht="18.75" customHeight="1">
      <c r="A199" s="97"/>
      <c r="B199" s="267"/>
      <c r="C199" s="328"/>
      <c r="D199" s="298"/>
      <c r="E199" s="298"/>
      <c r="F199" s="304"/>
      <c r="G199" s="304"/>
      <c r="H199" s="304"/>
      <c r="I199" s="304"/>
      <c r="J199" s="304"/>
      <c r="K199" s="677"/>
    </row>
    <row r="200" spans="1:11" s="235" customFormat="1" ht="18.75" customHeight="1">
      <c r="A200" s="101" t="s">
        <v>338</v>
      </c>
      <c r="B200" s="267"/>
      <c r="C200" s="328"/>
      <c r="D200" s="292"/>
      <c r="E200" s="292"/>
      <c r="F200" s="364">
        <f>SUM(F201:F217)</f>
        <v>1722991.86</v>
      </c>
      <c r="G200" s="364">
        <f>SUM(G201:G217)</f>
        <v>895586.78</v>
      </c>
      <c r="H200" s="364">
        <f>SUM(H201:H217)</f>
        <v>1455121.3399999999</v>
      </c>
      <c r="I200" s="364">
        <f>SUM(I201:I217)</f>
        <v>2350708.12</v>
      </c>
      <c r="J200" s="364">
        <f>SUM(J201:J217)</f>
        <v>2512000</v>
      </c>
      <c r="K200" s="677"/>
    </row>
    <row r="201" spans="1:11" s="235" customFormat="1" ht="18.75" customHeight="1">
      <c r="A201" s="97"/>
      <c r="B201" s="267" t="s">
        <v>322</v>
      </c>
      <c r="C201" s="328"/>
      <c r="D201" s="298"/>
      <c r="E201" s="298"/>
      <c r="F201" s="304">
        <v>148976.73</v>
      </c>
      <c r="G201" s="304"/>
      <c r="H201" s="304">
        <v>80000</v>
      </c>
      <c r="I201" s="304">
        <v>80000</v>
      </c>
      <c r="J201" s="304">
        <v>50000</v>
      </c>
      <c r="K201" s="677"/>
    </row>
    <row r="202" spans="1:11" s="235" customFormat="1" ht="18.75" customHeight="1">
      <c r="A202" s="97"/>
      <c r="B202" s="267" t="s">
        <v>323</v>
      </c>
      <c r="C202" s="328"/>
      <c r="D202" s="298"/>
      <c r="E202" s="298"/>
      <c r="F202" s="304">
        <v>188962</v>
      </c>
      <c r="G202" s="304">
        <v>505956.78</v>
      </c>
      <c r="H202" s="304">
        <v>230985.21999999997</v>
      </c>
      <c r="I202" s="304">
        <v>736942</v>
      </c>
      <c r="J202" s="304">
        <v>380000</v>
      </c>
      <c r="K202" s="677"/>
    </row>
    <row r="203" spans="1:11" s="235" customFormat="1" ht="18.75" customHeight="1">
      <c r="A203" s="97"/>
      <c r="B203" s="267" t="s">
        <v>324</v>
      </c>
      <c r="C203" s="328"/>
      <c r="D203" s="298"/>
      <c r="E203" s="298"/>
      <c r="F203" s="304">
        <v>744000</v>
      </c>
      <c r="G203" s="304"/>
      <c r="H203" s="304">
        <v>0</v>
      </c>
      <c r="I203" s="304"/>
      <c r="J203" s="304"/>
      <c r="K203" s="677"/>
    </row>
    <row r="204" spans="1:11" s="235" customFormat="1" ht="18.75" customHeight="1">
      <c r="A204" s="97"/>
      <c r="B204" s="267" t="s">
        <v>325</v>
      </c>
      <c r="C204" s="328"/>
      <c r="D204" s="298"/>
      <c r="E204" s="298"/>
      <c r="F204" s="304">
        <v>74450</v>
      </c>
      <c r="G204" s="304"/>
      <c r="H204" s="304">
        <v>80000</v>
      </c>
      <c r="I204" s="304">
        <v>80000</v>
      </c>
      <c r="J204" s="304">
        <v>50000</v>
      </c>
      <c r="K204" s="677"/>
    </row>
    <row r="205" spans="1:11" s="235" customFormat="1" ht="18.75" customHeight="1">
      <c r="A205" s="97"/>
      <c r="B205" s="267" t="s">
        <v>396</v>
      </c>
      <c r="C205" s="328"/>
      <c r="D205" s="298"/>
      <c r="E205" s="298"/>
      <c r="F205" s="304">
        <v>36271</v>
      </c>
      <c r="G205" s="304">
        <v>19530</v>
      </c>
      <c r="H205" s="304">
        <v>30470</v>
      </c>
      <c r="I205" s="304">
        <v>50000</v>
      </c>
      <c r="J205" s="304">
        <v>220000</v>
      </c>
      <c r="K205" s="677"/>
    </row>
    <row r="206" spans="1:11" s="235" customFormat="1" ht="18.75" customHeight="1">
      <c r="A206" s="97"/>
      <c r="B206" s="267" t="s">
        <v>326</v>
      </c>
      <c r="C206" s="328"/>
      <c r="D206" s="298"/>
      <c r="E206" s="298"/>
      <c r="F206" s="304">
        <v>1800</v>
      </c>
      <c r="G206" s="304">
        <v>7100</v>
      </c>
      <c r="H206" s="304">
        <v>12900</v>
      </c>
      <c r="I206" s="304">
        <v>20000</v>
      </c>
      <c r="J206" s="304">
        <v>20000</v>
      </c>
      <c r="K206" s="677"/>
    </row>
    <row r="207" spans="1:11" s="235" customFormat="1" ht="18.75" customHeight="1">
      <c r="A207" s="97"/>
      <c r="B207" s="267" t="s">
        <v>397</v>
      </c>
      <c r="C207" s="328"/>
      <c r="D207" s="298"/>
      <c r="E207" s="298"/>
      <c r="F207" s="304"/>
      <c r="G207" s="304"/>
      <c r="H207" s="304">
        <v>0</v>
      </c>
      <c r="I207" s="304"/>
      <c r="J207" s="304"/>
      <c r="K207" s="677"/>
    </row>
    <row r="208" spans="1:11" s="235" customFormat="1" ht="18.75" customHeight="1">
      <c r="A208" s="97"/>
      <c r="B208" s="267" t="s">
        <v>327</v>
      </c>
      <c r="C208" s="328"/>
      <c r="D208" s="298"/>
      <c r="E208" s="298"/>
      <c r="F208" s="304">
        <v>27750</v>
      </c>
      <c r="G208" s="304"/>
      <c r="H208" s="304">
        <v>0</v>
      </c>
      <c r="I208" s="304"/>
      <c r="J208" s="304"/>
      <c r="K208" s="677"/>
    </row>
    <row r="209" spans="1:11" s="235" customFormat="1" ht="18.75" customHeight="1">
      <c r="A209" s="97"/>
      <c r="B209" s="267" t="s">
        <v>383</v>
      </c>
      <c r="C209" s="328"/>
      <c r="D209" s="298"/>
      <c r="E209" s="298"/>
      <c r="F209" s="304">
        <v>300846.81</v>
      </c>
      <c r="G209" s="304"/>
      <c r="H209" s="304">
        <v>180000</v>
      </c>
      <c r="I209" s="304">
        <v>180000</v>
      </c>
      <c r="J209" s="304"/>
      <c r="K209" s="677"/>
    </row>
    <row r="210" spans="1:11" s="235" customFormat="1" ht="18.75" customHeight="1">
      <c r="A210" s="97"/>
      <c r="B210" s="267" t="s">
        <v>401</v>
      </c>
      <c r="C210" s="328"/>
      <c r="D210" s="298"/>
      <c r="E210" s="298"/>
      <c r="F210" s="304">
        <v>199935.32</v>
      </c>
      <c r="G210" s="304"/>
      <c r="H210" s="304">
        <v>0</v>
      </c>
      <c r="I210" s="304"/>
      <c r="J210" s="304"/>
      <c r="K210" s="677"/>
    </row>
    <row r="211" spans="1:11" s="235" customFormat="1" ht="18.75" customHeight="1">
      <c r="A211" s="97"/>
      <c r="B211" s="267" t="s">
        <v>328</v>
      </c>
      <c r="C211" s="328"/>
      <c r="D211" s="298"/>
      <c r="E211" s="298"/>
      <c r="F211" s="304"/>
      <c r="G211" s="304"/>
      <c r="H211" s="304">
        <v>0</v>
      </c>
      <c r="I211" s="304"/>
      <c r="J211" s="304"/>
      <c r="K211" s="677"/>
    </row>
    <row r="212" spans="1:11" s="235" customFormat="1" ht="18.75" customHeight="1">
      <c r="A212" s="97"/>
      <c r="B212" s="267" t="s">
        <v>522</v>
      </c>
      <c r="C212" s="328"/>
      <c r="D212" s="298"/>
      <c r="E212" s="298"/>
      <c r="F212" s="304"/>
      <c r="G212" s="304"/>
      <c r="H212" s="304">
        <v>71766.12</v>
      </c>
      <c r="I212" s="304">
        <v>71766.12</v>
      </c>
      <c r="J212" s="304">
        <v>60000</v>
      </c>
      <c r="K212" s="677"/>
    </row>
    <row r="213" spans="1:11" s="235" customFormat="1" ht="18.75" customHeight="1">
      <c r="A213" s="97"/>
      <c r="B213" s="267" t="s">
        <v>453</v>
      </c>
      <c r="C213" s="328"/>
      <c r="D213" s="298"/>
      <c r="E213" s="298"/>
      <c r="F213" s="304"/>
      <c r="G213" s="304">
        <v>363000</v>
      </c>
      <c r="H213" s="304">
        <v>669000</v>
      </c>
      <c r="I213" s="304">
        <v>1032000</v>
      </c>
      <c r="J213" s="304">
        <v>1032000</v>
      </c>
      <c r="K213" s="677"/>
    </row>
    <row r="214" spans="1:11" s="235" customFormat="1" ht="18.75" customHeight="1">
      <c r="A214" s="97"/>
      <c r="B214" s="267" t="s">
        <v>452</v>
      </c>
      <c r="C214" s="328"/>
      <c r="D214" s="298"/>
      <c r="E214" s="298"/>
      <c r="F214" s="304"/>
      <c r="G214" s="304"/>
      <c r="H214" s="304">
        <v>100000</v>
      </c>
      <c r="I214" s="304">
        <v>100000</v>
      </c>
      <c r="J214" s="304"/>
      <c r="K214" s="677"/>
    </row>
    <row r="215" spans="1:11" s="235" customFormat="1" ht="18.75" customHeight="1">
      <c r="A215" s="97"/>
      <c r="B215" s="267" t="s">
        <v>504</v>
      </c>
      <c r="C215" s="328"/>
      <c r="D215" s="298"/>
      <c r="E215" s="298"/>
      <c r="F215" s="304"/>
      <c r="G215" s="304"/>
      <c r="H215" s="304"/>
      <c r="I215" s="304"/>
      <c r="J215" s="304">
        <v>350000</v>
      </c>
      <c r="K215" s="677"/>
    </row>
    <row r="216" spans="1:11" s="235" customFormat="1" ht="18.75" customHeight="1">
      <c r="A216" s="97"/>
      <c r="B216" s="267" t="s">
        <v>298</v>
      </c>
      <c r="C216" s="328"/>
      <c r="D216" s="298"/>
      <c r="E216" s="298"/>
      <c r="F216" s="304"/>
      <c r="G216" s="304"/>
      <c r="H216" s="304"/>
      <c r="I216" s="304"/>
      <c r="J216" s="304">
        <v>100000</v>
      </c>
      <c r="K216" s="677"/>
    </row>
    <row r="217" spans="1:11" s="235" customFormat="1" ht="18.75" customHeight="1">
      <c r="A217" s="97"/>
      <c r="B217" s="267" t="s">
        <v>505</v>
      </c>
      <c r="C217" s="328"/>
      <c r="D217" s="298"/>
      <c r="E217" s="298"/>
      <c r="F217" s="304"/>
      <c r="G217" s="304"/>
      <c r="H217" s="304"/>
      <c r="I217" s="304"/>
      <c r="J217" s="304">
        <v>250000</v>
      </c>
      <c r="K217" s="677"/>
    </row>
    <row r="218" spans="1:11" s="235" customFormat="1" ht="17.25">
      <c r="A218" s="1084" t="s">
        <v>115</v>
      </c>
      <c r="B218" s="1085"/>
      <c r="C218" s="1086"/>
      <c r="D218" s="307"/>
      <c r="E218" s="292"/>
      <c r="F218" s="96">
        <f>F220+F221+F222+F223+F224+F225+F227+F228+F229+F230+F231+F232+F235+F236+F238+F239+F241+F242+F243+F244+F245+F246+F247+F248+F249+F250+F251+F252+F255+F256+F257+F258+F259+F261+F262+F263+F264+F265+F267+F268+F270+F272+F273+F278+F279+F280+F281+F282+F283+F284+F285+F286+F287+F288+F289+F290+F291+F292+F293+F294+F295+F296+F297+F298+F300+F301+F302+F303+F304+F305+F306+F308+F309+F310+F311+F312+F313+F314+F315+F316+F318+F319+F320+F322+F321+F323+F324+F325+F326+F328+F329+F330+F331+F332+F333+F334+F335</f>
        <v>12484311.51</v>
      </c>
      <c r="G218" s="96">
        <f>G220+G221+G222+G223+G224+G225+G227+G228+G229+G230+G231+G232+G235+G236+G238+G239+G241+G242+G243+G244+G245+G246+G247+G248+G249+G250+G251+G252+G255+G256+G257+G258+G259+G261+G262+G263+G264+G265+G267+G268+G270+G272+G273+G278+G279+G280+G281+G282+G283+G284+G285+G286+G287+G288+G289+G290+G291+G292+G293+G294+G295+G296+G297+G298+G300+G301+G302+G303+G304+G305+G306+G308+G309+G310+G311+G312+G313+G314+G315+G316+G318+G319+G320+G322+G321+G323+G324+G325+G326+G328+G329+G330+G331+G332+G333+G334+G335</f>
        <v>4086174.7099999995</v>
      </c>
      <c r="H218" s="96">
        <f>H220+H221+H222+H223+H224+H225+H227+H228+H229+H231+H232+H233+H243+H244+H245+H247+H250+H251+H252+H255+H257+H258+H259+H265+H270+H273+H278+H279+H283+H286+H287+H288</f>
        <v>15913825.29</v>
      </c>
      <c r="I218" s="96">
        <f>I220+I221+I222+I223+I224+I225+I227+I228+I229+I231+I232+I233+I243+I244+I245+I247+I250+I251+I252+I255+I257+I258+I259+I265+I270+I273+I278+I279+I283+I286+I287+I288</f>
        <v>20000000</v>
      </c>
      <c r="J218" s="96">
        <f>J220+J221+J222+J223+J224+J225+J227+J228+J229+J230+J231+J232+J235+J236+J238+J239+J241+J242+J243+J244+J245+J246+J247+J248+J249+J250+J251+J252+J255+J256+J257+J258+J259+J261+J262+J263+J264+J265+J267+J268+J270+J272+J273+J278+J279+J280+J281+J282+J283+J284+J285+J286+J287+J288+J289+J290+J291+J292+J293+J294+J295+J296+J297+J298+J300+J301+J302+J303+J304+J305+J306+J308+J309+J310+J311+J312+J313+J314+J315+J316+J318+J319+J320+J322+J321+J323+J324+J325+J326+J328+J329+J330+J331+J332+J333+J334+J335</f>
        <v>20450000</v>
      </c>
      <c r="K218" s="677"/>
    </row>
    <row r="219" spans="1:11" s="235" customFormat="1" ht="18.75">
      <c r="A219" s="97"/>
      <c r="B219" s="708" t="s">
        <v>116</v>
      </c>
      <c r="C219" s="13"/>
      <c r="D219" s="298"/>
      <c r="E219" s="298"/>
      <c r="F219" s="299"/>
      <c r="G219" s="304"/>
      <c r="H219" s="98"/>
      <c r="I219" s="304"/>
      <c r="J219" s="947"/>
      <c r="K219" s="677"/>
    </row>
    <row r="220" spans="1:11" s="235" customFormat="1" ht="18.75">
      <c r="A220" s="97"/>
      <c r="B220" s="13" t="s">
        <v>117</v>
      </c>
      <c r="C220" s="13"/>
      <c r="D220" s="298"/>
      <c r="E220" s="298"/>
      <c r="F220" s="98">
        <v>1293299.54</v>
      </c>
      <c r="G220" s="98">
        <v>839728.3</v>
      </c>
      <c r="H220" s="98">
        <v>1160271.7</v>
      </c>
      <c r="I220" s="98">
        <v>2000000</v>
      </c>
      <c r="J220" s="947"/>
      <c r="K220" s="677"/>
    </row>
    <row r="221" spans="1:11" s="235" customFormat="1" ht="18.75">
      <c r="A221" s="97"/>
      <c r="B221" s="12" t="s">
        <v>118</v>
      </c>
      <c r="C221" s="12"/>
      <c r="D221" s="298"/>
      <c r="E221" s="298"/>
      <c r="F221" s="98">
        <v>93519.55</v>
      </c>
      <c r="G221" s="98">
        <v>405759</v>
      </c>
      <c r="H221" s="98">
        <v>94241</v>
      </c>
      <c r="I221" s="98">
        <v>500000</v>
      </c>
      <c r="J221" s="947"/>
      <c r="K221" s="677"/>
    </row>
    <row r="222" spans="1:11" s="235" customFormat="1" ht="18.75">
      <c r="A222" s="97"/>
      <c r="B222" s="12" t="s">
        <v>364</v>
      </c>
      <c r="C222" s="12"/>
      <c r="D222" s="298"/>
      <c r="E222" s="298"/>
      <c r="F222" s="98">
        <v>50000</v>
      </c>
      <c r="G222" s="98">
        <v>24903.9</v>
      </c>
      <c r="H222" s="98">
        <v>75096.1</v>
      </c>
      <c r="I222" s="98">
        <v>100000</v>
      </c>
      <c r="J222" s="947"/>
      <c r="K222" s="677"/>
    </row>
    <row r="223" spans="1:11" s="235" customFormat="1" ht="18.75">
      <c r="A223" s="97"/>
      <c r="B223" s="12" t="s">
        <v>365</v>
      </c>
      <c r="C223" s="12"/>
      <c r="D223" s="298"/>
      <c r="E223" s="298"/>
      <c r="F223" s="98">
        <v>65647.55</v>
      </c>
      <c r="G223" s="98">
        <v>0</v>
      </c>
      <c r="H223" s="98">
        <v>100000</v>
      </c>
      <c r="I223" s="98">
        <v>100000</v>
      </c>
      <c r="J223" s="947"/>
      <c r="K223" s="677"/>
    </row>
    <row r="224" spans="1:11" s="235" customFormat="1" ht="18.75">
      <c r="A224" s="97"/>
      <c r="B224" s="12" t="s">
        <v>462</v>
      </c>
      <c r="C224" s="12"/>
      <c r="D224" s="298"/>
      <c r="E224" s="298"/>
      <c r="F224" s="98">
        <v>79501</v>
      </c>
      <c r="G224" s="98">
        <v>233407.9</v>
      </c>
      <c r="H224" s="98">
        <v>266592.1</v>
      </c>
      <c r="I224" s="98">
        <v>500000</v>
      </c>
      <c r="J224" s="947"/>
      <c r="K224" s="677"/>
    </row>
    <row r="225" spans="1:11" s="235" customFormat="1" ht="18.75">
      <c r="A225" s="97"/>
      <c r="B225" s="12" t="s">
        <v>366</v>
      </c>
      <c r="C225" s="12"/>
      <c r="D225" s="298"/>
      <c r="E225" s="298"/>
      <c r="F225" s="98">
        <v>116039</v>
      </c>
      <c r="G225" s="98">
        <v>0</v>
      </c>
      <c r="H225" s="98">
        <v>100000</v>
      </c>
      <c r="I225" s="98">
        <v>100000</v>
      </c>
      <c r="J225" s="947"/>
      <c r="K225" s="677"/>
    </row>
    <row r="226" spans="1:11" s="235" customFormat="1" ht="54" customHeight="1">
      <c r="A226" s="97"/>
      <c r="B226" s="1087" t="s">
        <v>346</v>
      </c>
      <c r="C226" s="1088"/>
      <c r="D226" s="298"/>
      <c r="E226" s="298"/>
      <c r="F226" s="98"/>
      <c r="G226" s="98"/>
      <c r="H226" s="98"/>
      <c r="I226" s="98"/>
      <c r="J226" s="947"/>
      <c r="K226" s="677"/>
    </row>
    <row r="227" spans="1:11" s="235" customFormat="1" ht="18.75">
      <c r="A227" s="97"/>
      <c r="B227" s="229" t="s">
        <v>119</v>
      </c>
      <c r="C227" s="320"/>
      <c r="D227" s="298"/>
      <c r="E227" s="298"/>
      <c r="F227" s="98">
        <v>206000</v>
      </c>
      <c r="G227" s="98">
        <v>54700</v>
      </c>
      <c r="H227" s="98">
        <v>145300</v>
      </c>
      <c r="I227" s="98">
        <v>200000</v>
      </c>
      <c r="J227" s="947"/>
      <c r="K227" s="677"/>
    </row>
    <row r="228" spans="1:11" s="235" customFormat="1" ht="18.75">
      <c r="A228" s="97"/>
      <c r="B228" s="229" t="s">
        <v>120</v>
      </c>
      <c r="C228" s="267"/>
      <c r="D228" s="298"/>
      <c r="E228" s="298"/>
      <c r="F228" s="98">
        <v>85790</v>
      </c>
      <c r="G228" s="98">
        <v>20000</v>
      </c>
      <c r="H228" s="98">
        <v>180000</v>
      </c>
      <c r="I228" s="98">
        <v>200000</v>
      </c>
      <c r="J228" s="947"/>
      <c r="K228" s="677"/>
    </row>
    <row r="229" spans="1:11" s="235" customFormat="1" ht="18.75">
      <c r="A229" s="97"/>
      <c r="B229" s="229" t="s">
        <v>347</v>
      </c>
      <c r="C229" s="267"/>
      <c r="D229" s="298"/>
      <c r="E229" s="298"/>
      <c r="F229" s="98">
        <v>159121.63</v>
      </c>
      <c r="G229" s="98">
        <v>2881.21</v>
      </c>
      <c r="H229" s="98">
        <v>247118.79</v>
      </c>
      <c r="I229" s="98">
        <v>250000</v>
      </c>
      <c r="J229" s="947"/>
      <c r="K229" s="677"/>
    </row>
    <row r="230" spans="1:11" s="235" customFormat="1" ht="18.75">
      <c r="A230" s="97"/>
      <c r="B230" s="229" t="s">
        <v>348</v>
      </c>
      <c r="C230" s="267"/>
      <c r="D230" s="298"/>
      <c r="E230" s="298"/>
      <c r="F230" s="98">
        <v>240168</v>
      </c>
      <c r="G230" s="98">
        <v>0</v>
      </c>
      <c r="H230" s="98">
        <v>0</v>
      </c>
      <c r="I230" s="98"/>
      <c r="J230" s="947"/>
      <c r="K230" s="677"/>
    </row>
    <row r="231" spans="1:11" s="235" customFormat="1" ht="18.75">
      <c r="A231" s="97"/>
      <c r="B231" s="1005" t="s">
        <v>349</v>
      </c>
      <c r="C231" s="267"/>
      <c r="D231" s="298"/>
      <c r="E231" s="298"/>
      <c r="F231" s="98">
        <v>54075</v>
      </c>
      <c r="G231" s="98">
        <v>36800</v>
      </c>
      <c r="H231" s="98">
        <v>63200</v>
      </c>
      <c r="I231" s="98">
        <v>100000</v>
      </c>
      <c r="J231" s="947"/>
      <c r="K231" s="677"/>
    </row>
    <row r="232" spans="1:11" s="235" customFormat="1" ht="18.75">
      <c r="A232" s="97"/>
      <c r="B232" s="632" t="s">
        <v>350</v>
      </c>
      <c r="C232" s="267"/>
      <c r="D232" s="298"/>
      <c r="E232" s="298"/>
      <c r="F232" s="98">
        <v>104400</v>
      </c>
      <c r="G232" s="98">
        <v>0</v>
      </c>
      <c r="H232" s="98">
        <v>200000</v>
      </c>
      <c r="I232" s="98">
        <v>200000</v>
      </c>
      <c r="J232" s="947"/>
      <c r="K232" s="677"/>
    </row>
    <row r="233" spans="1:11" s="235" customFormat="1" ht="18.75">
      <c r="A233" s="97"/>
      <c r="B233" s="229" t="s">
        <v>122</v>
      </c>
      <c r="C233" s="267"/>
      <c r="D233" s="298"/>
      <c r="E233" s="298"/>
      <c r="F233" s="98"/>
      <c r="G233" s="98">
        <v>0</v>
      </c>
      <c r="H233" s="98">
        <v>100000</v>
      </c>
      <c r="I233" s="98">
        <v>100000</v>
      </c>
      <c r="J233" s="947"/>
      <c r="K233" s="677"/>
    </row>
    <row r="234" spans="1:11" s="235" customFormat="1" ht="17.25">
      <c r="A234" s="97"/>
      <c r="B234" s="363" t="s">
        <v>123</v>
      </c>
      <c r="C234" s="267"/>
      <c r="D234" s="298"/>
      <c r="E234" s="298"/>
      <c r="F234" s="98"/>
      <c r="G234" s="98"/>
      <c r="H234" s="98"/>
      <c r="I234" s="98"/>
      <c r="J234" s="98"/>
      <c r="K234" s="677"/>
    </row>
    <row r="235" spans="1:11" s="235" customFormat="1" ht="17.25">
      <c r="A235" s="97"/>
      <c r="B235" s="229" t="s">
        <v>124</v>
      </c>
      <c r="C235" s="320"/>
      <c r="D235" s="298"/>
      <c r="E235" s="298"/>
      <c r="F235" s="98">
        <v>22818</v>
      </c>
      <c r="G235" s="98"/>
      <c r="H235" s="98"/>
      <c r="I235" s="98"/>
      <c r="J235" s="946"/>
      <c r="K235" s="677"/>
    </row>
    <row r="236" spans="1:11" s="235" customFormat="1" ht="17.25">
      <c r="A236" s="97"/>
      <c r="B236" s="229" t="s">
        <v>125</v>
      </c>
      <c r="C236" s="12"/>
      <c r="D236" s="298"/>
      <c r="E236" s="298"/>
      <c r="F236" s="98">
        <v>169579</v>
      </c>
      <c r="G236" s="98"/>
      <c r="H236" s="98"/>
      <c r="I236" s="98"/>
      <c r="J236" s="946"/>
      <c r="K236" s="677"/>
    </row>
    <row r="237" spans="1:11" s="235" customFormat="1" ht="17.25">
      <c r="A237" s="97"/>
      <c r="B237" s="708" t="s">
        <v>126</v>
      </c>
      <c r="C237" s="267"/>
      <c r="D237" s="298"/>
      <c r="E237" s="298"/>
      <c r="F237" s="98"/>
      <c r="G237" s="98"/>
      <c r="H237" s="98"/>
      <c r="I237" s="98"/>
      <c r="J237" s="98"/>
      <c r="K237" s="677"/>
    </row>
    <row r="238" spans="1:11" s="235" customFormat="1" ht="17.25">
      <c r="A238" s="97"/>
      <c r="B238" s="632" t="s">
        <v>304</v>
      </c>
      <c r="C238" s="267"/>
      <c r="D238" s="298"/>
      <c r="E238" s="298"/>
      <c r="F238" s="98">
        <v>100000</v>
      </c>
      <c r="G238" s="98"/>
      <c r="H238" s="98"/>
      <c r="I238" s="98"/>
      <c r="J238" s="98"/>
      <c r="K238" s="677"/>
    </row>
    <row r="239" spans="1:11" s="235" customFormat="1" ht="17.25">
      <c r="A239" s="97"/>
      <c r="B239" s="1005" t="s">
        <v>305</v>
      </c>
      <c r="C239" s="267"/>
      <c r="D239" s="298"/>
      <c r="E239" s="298"/>
      <c r="F239" s="98">
        <v>69490</v>
      </c>
      <c r="G239" s="98"/>
      <c r="H239" s="98"/>
      <c r="I239" s="98"/>
      <c r="J239" s="98"/>
      <c r="K239" s="677"/>
    </row>
    <row r="240" spans="1:11" s="235" customFormat="1" ht="17.25">
      <c r="A240" s="97"/>
      <c r="B240" s="229" t="s">
        <v>367</v>
      </c>
      <c r="C240" s="267"/>
      <c r="D240" s="298"/>
      <c r="E240" s="298"/>
      <c r="F240" s="98"/>
      <c r="G240" s="98"/>
      <c r="H240" s="98"/>
      <c r="I240" s="98"/>
      <c r="J240" s="98"/>
      <c r="K240" s="677"/>
    </row>
    <row r="241" spans="1:11" s="235" customFormat="1" ht="17.25">
      <c r="A241" s="97"/>
      <c r="B241" s="229" t="s">
        <v>368</v>
      </c>
      <c r="C241" s="267"/>
      <c r="D241" s="298"/>
      <c r="E241" s="298"/>
      <c r="F241" s="98">
        <v>109200</v>
      </c>
      <c r="G241" s="98"/>
      <c r="H241" s="98">
        <v>0</v>
      </c>
      <c r="I241" s="98"/>
      <c r="J241" s="98"/>
      <c r="K241" s="677"/>
    </row>
    <row r="242" spans="1:11" s="235" customFormat="1" ht="17.25">
      <c r="A242" s="97"/>
      <c r="B242" s="229" t="s">
        <v>369</v>
      </c>
      <c r="C242" s="267"/>
      <c r="D242" s="298"/>
      <c r="E242" s="298"/>
      <c r="F242" s="98">
        <v>730999.91</v>
      </c>
      <c r="G242" s="98"/>
      <c r="H242" s="98">
        <v>0</v>
      </c>
      <c r="I242" s="98"/>
      <c r="J242" s="98"/>
      <c r="K242" s="677"/>
    </row>
    <row r="243" spans="1:11" s="235" customFormat="1" ht="17.25">
      <c r="A243" s="97"/>
      <c r="B243" s="229" t="s">
        <v>370</v>
      </c>
      <c r="C243" s="267"/>
      <c r="D243" s="298"/>
      <c r="E243" s="298"/>
      <c r="F243" s="98">
        <v>1599800</v>
      </c>
      <c r="G243" s="98"/>
      <c r="H243" s="98">
        <v>1800000</v>
      </c>
      <c r="I243" s="98">
        <v>1800000</v>
      </c>
      <c r="J243" s="98"/>
      <c r="K243" s="677"/>
    </row>
    <row r="244" spans="1:11" s="235" customFormat="1" ht="17.25">
      <c r="A244" s="97"/>
      <c r="B244" s="229" t="s">
        <v>371</v>
      </c>
      <c r="C244" s="267"/>
      <c r="D244" s="298"/>
      <c r="E244" s="298"/>
      <c r="F244" s="98">
        <v>247800</v>
      </c>
      <c r="G244" s="98"/>
      <c r="H244" s="98">
        <v>500000</v>
      </c>
      <c r="I244" s="98">
        <v>500000</v>
      </c>
      <c r="J244" s="98"/>
      <c r="K244" s="677"/>
    </row>
    <row r="245" spans="1:11" s="235" customFormat="1" ht="17.25">
      <c r="A245" s="97"/>
      <c r="B245" s="1006" t="s">
        <v>372</v>
      </c>
      <c r="C245" s="320"/>
      <c r="D245" s="298"/>
      <c r="E245" s="298"/>
      <c r="F245" s="98">
        <v>995031.84</v>
      </c>
      <c r="G245" s="98"/>
      <c r="H245" s="98">
        <v>3000000</v>
      </c>
      <c r="I245" s="98">
        <v>3000000</v>
      </c>
      <c r="J245" s="946"/>
      <c r="K245" s="677"/>
    </row>
    <row r="246" spans="1:11" s="235" customFormat="1" ht="17.25">
      <c r="A246" s="97"/>
      <c r="B246" s="1006" t="s">
        <v>373</v>
      </c>
      <c r="C246" s="320"/>
      <c r="D246" s="298"/>
      <c r="E246" s="298"/>
      <c r="F246" s="98">
        <v>1988732</v>
      </c>
      <c r="G246" s="98"/>
      <c r="H246" s="98">
        <v>0</v>
      </c>
      <c r="I246" s="98"/>
      <c r="J246" s="946"/>
      <c r="K246" s="677"/>
    </row>
    <row r="247" spans="1:11" s="235" customFormat="1" ht="17.25">
      <c r="A247" s="97"/>
      <c r="B247" s="1006" t="s">
        <v>121</v>
      </c>
      <c r="C247" s="320"/>
      <c r="D247" s="298"/>
      <c r="E247" s="298"/>
      <c r="F247" s="98">
        <v>398886.25</v>
      </c>
      <c r="G247" s="98"/>
      <c r="H247" s="98">
        <v>1000000</v>
      </c>
      <c r="I247" s="98">
        <v>1000000</v>
      </c>
      <c r="J247" s="946"/>
      <c r="K247" s="677"/>
    </row>
    <row r="248" spans="1:11" s="235" customFormat="1" ht="17.25">
      <c r="A248" s="97"/>
      <c r="B248" s="1006" t="s">
        <v>374</v>
      </c>
      <c r="C248" s="320"/>
      <c r="D248" s="298"/>
      <c r="E248" s="298"/>
      <c r="F248" s="98">
        <v>190750</v>
      </c>
      <c r="G248" s="98"/>
      <c r="H248" s="98">
        <v>0</v>
      </c>
      <c r="I248" s="98"/>
      <c r="J248" s="946"/>
      <c r="K248" s="677"/>
    </row>
    <row r="249" spans="1:11" s="235" customFormat="1" ht="17.25">
      <c r="A249" s="97"/>
      <c r="B249" s="1006" t="s">
        <v>306</v>
      </c>
      <c r="C249" s="320"/>
      <c r="D249" s="298"/>
      <c r="E249" s="298"/>
      <c r="F249" s="98">
        <v>512000</v>
      </c>
      <c r="G249" s="98"/>
      <c r="H249" s="98">
        <v>0</v>
      </c>
      <c r="I249" s="98"/>
      <c r="J249" s="946"/>
      <c r="K249" s="677"/>
    </row>
    <row r="250" spans="1:11" s="235" customFormat="1" ht="17.25">
      <c r="A250" s="97"/>
      <c r="B250" s="1006" t="s">
        <v>445</v>
      </c>
      <c r="C250" s="320"/>
      <c r="D250" s="298"/>
      <c r="E250" s="298"/>
      <c r="F250" s="98"/>
      <c r="G250" s="98"/>
      <c r="H250" s="98">
        <v>2000000</v>
      </c>
      <c r="I250" s="98">
        <v>2000000</v>
      </c>
      <c r="J250" s="946"/>
      <c r="K250" s="677"/>
    </row>
    <row r="251" spans="1:11" s="235" customFormat="1" ht="17.25">
      <c r="A251" s="97"/>
      <c r="B251" s="1006" t="s">
        <v>446</v>
      </c>
      <c r="C251" s="320"/>
      <c r="D251" s="298"/>
      <c r="E251" s="298"/>
      <c r="F251" s="98"/>
      <c r="G251" s="98">
        <v>735000</v>
      </c>
      <c r="H251" s="98">
        <v>1265000</v>
      </c>
      <c r="I251" s="98">
        <v>2000000</v>
      </c>
      <c r="J251" s="946"/>
      <c r="K251" s="677"/>
    </row>
    <row r="252" spans="1:11" s="235" customFormat="1" ht="17.25">
      <c r="A252" s="97"/>
      <c r="B252" s="1006" t="s">
        <v>458</v>
      </c>
      <c r="C252" s="320"/>
      <c r="D252" s="298"/>
      <c r="E252" s="298"/>
      <c r="F252" s="98"/>
      <c r="G252" s="98">
        <v>698820</v>
      </c>
      <c r="H252" s="98">
        <v>301180</v>
      </c>
      <c r="I252" s="98">
        <v>1000000</v>
      </c>
      <c r="J252" s="946"/>
      <c r="K252" s="677"/>
    </row>
    <row r="253" spans="1:11" s="235" customFormat="1" ht="17.25">
      <c r="A253" s="97"/>
      <c r="B253" s="1008" t="s">
        <v>351</v>
      </c>
      <c r="C253" s="1008"/>
      <c r="D253" s="298"/>
      <c r="E253" s="298"/>
      <c r="F253" s="98"/>
      <c r="G253" s="98"/>
      <c r="H253" s="98"/>
      <c r="I253" s="98"/>
      <c r="J253" s="946"/>
      <c r="K253" s="677"/>
    </row>
    <row r="254" spans="1:11" s="235" customFormat="1" ht="17.25">
      <c r="A254" s="97"/>
      <c r="B254" s="1008" t="s">
        <v>415</v>
      </c>
      <c r="C254" s="1008"/>
      <c r="D254" s="298"/>
      <c r="E254" s="298"/>
      <c r="F254" s="98"/>
      <c r="G254" s="98"/>
      <c r="H254" s="98"/>
      <c r="I254" s="98"/>
      <c r="J254" s="946"/>
      <c r="K254" s="677"/>
    </row>
    <row r="255" spans="1:11" s="235" customFormat="1" ht="17.25">
      <c r="A255" s="97"/>
      <c r="B255" s="1005" t="s">
        <v>352</v>
      </c>
      <c r="C255" s="1007"/>
      <c r="D255" s="298"/>
      <c r="E255" s="298"/>
      <c r="F255" s="98">
        <v>360000</v>
      </c>
      <c r="G255" s="98"/>
      <c r="H255" s="98">
        <v>500000</v>
      </c>
      <c r="I255" s="98">
        <v>500000</v>
      </c>
      <c r="J255" s="946"/>
      <c r="K255" s="677"/>
    </row>
    <row r="256" spans="1:11" s="235" customFormat="1" ht="17.25">
      <c r="A256" s="97"/>
      <c r="B256" s="1005" t="s">
        <v>353</v>
      </c>
      <c r="C256" s="1007"/>
      <c r="D256" s="298"/>
      <c r="E256" s="298"/>
      <c r="F256" s="98"/>
      <c r="G256" s="98"/>
      <c r="H256" s="98">
        <v>0</v>
      </c>
      <c r="I256" s="98"/>
      <c r="J256" s="946"/>
      <c r="K256" s="677"/>
    </row>
    <row r="257" spans="1:11" s="235" customFormat="1" ht="17.25">
      <c r="A257" s="97"/>
      <c r="B257" s="1005" t="s">
        <v>354</v>
      </c>
      <c r="C257" s="1007"/>
      <c r="D257" s="298"/>
      <c r="E257" s="298"/>
      <c r="F257" s="98">
        <v>144561.57</v>
      </c>
      <c r="G257" s="98"/>
      <c r="H257" s="98">
        <v>150000</v>
      </c>
      <c r="I257" s="98">
        <v>150000</v>
      </c>
      <c r="J257" s="946"/>
      <c r="K257" s="677"/>
    </row>
    <row r="258" spans="1:11" s="235" customFormat="1" ht="17.25">
      <c r="A258" s="97"/>
      <c r="B258" s="1005" t="s">
        <v>355</v>
      </c>
      <c r="C258" s="1005"/>
      <c r="D258" s="298"/>
      <c r="E258" s="298"/>
      <c r="F258" s="98">
        <v>97650</v>
      </c>
      <c r="G258" s="98"/>
      <c r="H258" s="98">
        <v>50000</v>
      </c>
      <c r="I258" s="98">
        <v>50000</v>
      </c>
      <c r="J258" s="946"/>
      <c r="K258" s="677"/>
    </row>
    <row r="259" spans="1:11" s="235" customFormat="1" ht="17.25">
      <c r="A259" s="97"/>
      <c r="B259" s="1005" t="s">
        <v>356</v>
      </c>
      <c r="C259" s="1005"/>
      <c r="D259" s="298"/>
      <c r="E259" s="298"/>
      <c r="F259" s="98">
        <v>208885</v>
      </c>
      <c r="G259" s="98">
        <v>24903.9</v>
      </c>
      <c r="H259" s="98">
        <v>125096.1</v>
      </c>
      <c r="I259" s="98">
        <v>150000</v>
      </c>
      <c r="J259" s="946"/>
      <c r="K259" s="677"/>
    </row>
    <row r="260" spans="1:11" s="235" customFormat="1" ht="17.25">
      <c r="A260" s="97"/>
      <c r="B260" s="362" t="s">
        <v>357</v>
      </c>
      <c r="C260" s="320"/>
      <c r="D260" s="298"/>
      <c r="E260" s="298"/>
      <c r="F260" s="98"/>
      <c r="G260" s="98"/>
      <c r="H260" s="98"/>
      <c r="I260" s="98"/>
      <c r="J260" s="946"/>
      <c r="K260" s="677"/>
    </row>
    <row r="261" spans="1:11" s="235" customFormat="1" ht="17.25">
      <c r="A261" s="97"/>
      <c r="B261" s="229" t="s">
        <v>358</v>
      </c>
      <c r="C261" s="320"/>
      <c r="D261" s="298"/>
      <c r="E261" s="298"/>
      <c r="F261" s="98"/>
      <c r="G261" s="98"/>
      <c r="H261" s="98"/>
      <c r="I261" s="98"/>
      <c r="J261" s="946"/>
      <c r="K261" s="677"/>
    </row>
    <row r="262" spans="1:11" s="235" customFormat="1" ht="17.25">
      <c r="A262" s="97"/>
      <c r="B262" s="1005" t="s">
        <v>376</v>
      </c>
      <c r="C262" s="320"/>
      <c r="D262" s="298"/>
      <c r="E262" s="298"/>
      <c r="F262" s="98">
        <v>55000.2</v>
      </c>
      <c r="G262" s="98"/>
      <c r="H262" s="98">
        <v>0</v>
      </c>
      <c r="I262" s="98"/>
      <c r="J262" s="946"/>
      <c r="K262" s="677"/>
    </row>
    <row r="263" spans="1:11" s="235" customFormat="1" ht="17.25">
      <c r="A263" s="97"/>
      <c r="B263" s="229" t="s">
        <v>377</v>
      </c>
      <c r="C263" s="320"/>
      <c r="D263" s="298"/>
      <c r="E263" s="298"/>
      <c r="F263" s="98">
        <v>79119</v>
      </c>
      <c r="G263" s="98"/>
      <c r="H263" s="98">
        <v>0</v>
      </c>
      <c r="I263" s="98"/>
      <c r="J263" s="946"/>
      <c r="K263" s="677"/>
    </row>
    <row r="264" spans="1:11" s="235" customFormat="1" ht="17.25">
      <c r="A264" s="97"/>
      <c r="B264" s="855" t="s">
        <v>378</v>
      </c>
      <c r="C264" s="229"/>
      <c r="D264" s="298"/>
      <c r="E264" s="298"/>
      <c r="F264" s="98">
        <v>57671</v>
      </c>
      <c r="G264" s="98"/>
      <c r="H264" s="98">
        <v>0</v>
      </c>
      <c r="I264" s="98"/>
      <c r="J264" s="946"/>
      <c r="K264" s="677"/>
    </row>
    <row r="265" spans="1:11" s="235" customFormat="1" ht="17.25">
      <c r="A265" s="97"/>
      <c r="B265" s="321" t="s">
        <v>444</v>
      </c>
      <c r="C265" s="229"/>
      <c r="D265" s="298"/>
      <c r="E265" s="298"/>
      <c r="F265" s="98"/>
      <c r="G265" s="98"/>
      <c r="H265" s="98">
        <v>150000</v>
      </c>
      <c r="I265" s="98">
        <v>150000</v>
      </c>
      <c r="J265" s="946"/>
      <c r="K265" s="677"/>
    </row>
    <row r="266" spans="1:11" s="235" customFormat="1" ht="17.25">
      <c r="A266" s="97"/>
      <c r="B266" s="11" t="s">
        <v>400</v>
      </c>
      <c r="C266" s="13"/>
      <c r="D266" s="298"/>
      <c r="E266" s="298"/>
      <c r="F266" s="98"/>
      <c r="G266" s="98"/>
      <c r="H266" s="98">
        <v>0</v>
      </c>
      <c r="I266" s="98"/>
      <c r="J266" s="946"/>
      <c r="K266" s="677"/>
    </row>
    <row r="267" spans="1:11" s="235" customFormat="1" ht="17.25">
      <c r="A267" s="97"/>
      <c r="B267" s="1009" t="s">
        <v>379</v>
      </c>
      <c r="C267" s="12"/>
      <c r="D267" s="298"/>
      <c r="E267" s="298"/>
      <c r="F267" s="98">
        <v>30000</v>
      </c>
      <c r="G267" s="98"/>
      <c r="H267" s="98">
        <v>0</v>
      </c>
      <c r="I267" s="98"/>
      <c r="J267" s="946"/>
      <c r="K267" s="677"/>
    </row>
    <row r="268" spans="1:11" s="235" customFormat="1" ht="17.25">
      <c r="A268" s="97"/>
      <c r="B268" s="1010" t="s">
        <v>683</v>
      </c>
      <c r="C268" s="13"/>
      <c r="D268" s="298"/>
      <c r="E268" s="298"/>
      <c r="F268" s="98">
        <v>79991.74</v>
      </c>
      <c r="G268" s="98"/>
      <c r="H268" s="98">
        <v>0</v>
      </c>
      <c r="I268" s="98"/>
      <c r="J268" s="946"/>
      <c r="K268" s="677"/>
    </row>
    <row r="269" spans="1:11" s="235" customFormat="1" ht="17.25">
      <c r="A269" s="97"/>
      <c r="B269" s="11" t="s">
        <v>684</v>
      </c>
      <c r="C269" s="13"/>
      <c r="D269" s="298"/>
      <c r="E269" s="298"/>
      <c r="F269" s="98"/>
      <c r="G269" s="98"/>
      <c r="H269" s="98"/>
      <c r="I269" s="98"/>
      <c r="J269" s="946"/>
      <c r="K269" s="677"/>
    </row>
    <row r="270" spans="1:11" s="235" customFormat="1" ht="17.25">
      <c r="A270" s="97"/>
      <c r="B270" s="1010" t="s">
        <v>380</v>
      </c>
      <c r="C270" s="13"/>
      <c r="D270" s="298"/>
      <c r="E270" s="298"/>
      <c r="F270" s="98">
        <v>92106</v>
      </c>
      <c r="G270" s="98"/>
      <c r="H270" s="98">
        <v>150000</v>
      </c>
      <c r="I270" s="98">
        <v>150000</v>
      </c>
      <c r="J270" s="946"/>
      <c r="K270" s="677"/>
    </row>
    <row r="271" spans="1:11" s="235" customFormat="1" ht="17.25">
      <c r="A271" s="97"/>
      <c r="B271" s="248" t="s">
        <v>359</v>
      </c>
      <c r="C271" s="13"/>
      <c r="D271" s="298"/>
      <c r="E271" s="298"/>
      <c r="F271" s="98"/>
      <c r="G271" s="98"/>
      <c r="H271" s="98"/>
      <c r="I271" s="98"/>
      <c r="J271" s="946"/>
      <c r="K271" s="677"/>
    </row>
    <row r="272" spans="1:11" s="235" customFormat="1" ht="17.25">
      <c r="A272" s="97"/>
      <c r="B272" s="13" t="s">
        <v>124</v>
      </c>
      <c r="C272" s="13"/>
      <c r="D272" s="298"/>
      <c r="E272" s="298"/>
      <c r="F272" s="98"/>
      <c r="G272" s="98"/>
      <c r="H272" s="98">
        <v>0</v>
      </c>
      <c r="I272" s="98"/>
      <c r="J272" s="946"/>
      <c r="K272" s="677"/>
    </row>
    <row r="273" spans="1:11" s="235" customFormat="1" ht="17.25">
      <c r="A273" s="377"/>
      <c r="B273" s="1015" t="s">
        <v>125</v>
      </c>
      <c r="C273" s="1015"/>
      <c r="D273" s="291"/>
      <c r="E273" s="291"/>
      <c r="F273" s="313"/>
      <c r="G273" s="313">
        <v>0</v>
      </c>
      <c r="H273" s="313">
        <v>100000</v>
      </c>
      <c r="I273" s="313">
        <v>100000</v>
      </c>
      <c r="J273" s="948"/>
      <c r="K273" s="677"/>
    </row>
    <row r="274" spans="1:11" s="235" customFormat="1" ht="18.75">
      <c r="A274" s="81" t="str">
        <f>A1</f>
        <v>LBP Form No. 1</v>
      </c>
      <c r="B274" s="324"/>
      <c r="C274" s="326"/>
      <c r="D274" s="100"/>
      <c r="E274" s="100"/>
      <c r="F274" s="302"/>
      <c r="G274" s="302"/>
      <c r="H274" s="327"/>
      <c r="I274" s="302"/>
      <c r="J274" s="302"/>
      <c r="K274" s="677"/>
    </row>
    <row r="275" spans="1:11" s="235" customFormat="1" ht="18.75">
      <c r="A275" s="81" t="s">
        <v>133</v>
      </c>
      <c r="B275" s="324"/>
      <c r="C275" s="326"/>
      <c r="D275" s="100"/>
      <c r="E275" s="100"/>
      <c r="F275" s="302"/>
      <c r="G275" s="302"/>
      <c r="H275" s="327"/>
      <c r="I275" s="302"/>
      <c r="J275" s="302"/>
      <c r="K275" s="677"/>
    </row>
    <row r="276" spans="1:11" s="235" customFormat="1" ht="18.75">
      <c r="A276" s="100"/>
      <c r="B276" s="324"/>
      <c r="C276" s="326"/>
      <c r="D276" s="100"/>
      <c r="E276" s="100"/>
      <c r="F276" s="302"/>
      <c r="G276" s="302"/>
      <c r="H276" s="327"/>
      <c r="I276" s="302"/>
      <c r="J276" s="302"/>
      <c r="K276" s="677"/>
    </row>
    <row r="277" spans="1:11" s="235" customFormat="1" ht="18.75">
      <c r="A277" s="100"/>
      <c r="B277" s="324"/>
      <c r="C277" s="326"/>
      <c r="D277" s="100"/>
      <c r="E277" s="100"/>
      <c r="F277" s="302"/>
      <c r="G277" s="302"/>
      <c r="H277" s="327"/>
      <c r="I277" s="302"/>
      <c r="J277" s="302"/>
      <c r="K277" s="677"/>
    </row>
    <row r="278" spans="1:11" s="235" customFormat="1" ht="17.25">
      <c r="A278" s="294"/>
      <c r="B278" s="696" t="s">
        <v>360</v>
      </c>
      <c r="C278" s="696"/>
      <c r="D278" s="296"/>
      <c r="E278" s="296"/>
      <c r="F278" s="318"/>
      <c r="G278" s="318">
        <v>0</v>
      </c>
      <c r="H278" s="318">
        <v>50000</v>
      </c>
      <c r="I278" s="318">
        <v>50000</v>
      </c>
      <c r="J278" s="949"/>
      <c r="K278" s="677"/>
    </row>
    <row r="279" spans="1:11" s="235" customFormat="1" ht="17.25">
      <c r="A279" s="97"/>
      <c r="B279" s="13" t="s">
        <v>247</v>
      </c>
      <c r="C279" s="13"/>
      <c r="D279" s="298"/>
      <c r="E279" s="298"/>
      <c r="F279" s="98">
        <v>286052</v>
      </c>
      <c r="G279" s="98">
        <v>198988.3</v>
      </c>
      <c r="H279" s="98">
        <v>301011.7</v>
      </c>
      <c r="I279" s="98">
        <v>500000</v>
      </c>
      <c r="J279" s="946"/>
      <c r="K279" s="677"/>
    </row>
    <row r="280" spans="1:11" s="235" customFormat="1" ht="17.25">
      <c r="A280" s="97"/>
      <c r="B280" s="13" t="s">
        <v>516</v>
      </c>
      <c r="C280" s="13"/>
      <c r="D280" s="298"/>
      <c r="E280" s="298"/>
      <c r="F280" s="98"/>
      <c r="G280" s="98"/>
      <c r="H280" s="98">
        <v>0</v>
      </c>
      <c r="I280" s="98"/>
      <c r="J280" s="946"/>
      <c r="K280" s="677"/>
    </row>
    <row r="281" spans="1:11" s="235" customFormat="1" ht="17.25">
      <c r="A281" s="97"/>
      <c r="B281" s="13" t="s">
        <v>517</v>
      </c>
      <c r="C281" s="13"/>
      <c r="D281" s="298"/>
      <c r="E281" s="298"/>
      <c r="F281" s="98">
        <v>490096.33</v>
      </c>
      <c r="G281" s="98"/>
      <c r="H281" s="98"/>
      <c r="I281" s="98"/>
      <c r="J281" s="946"/>
      <c r="K281" s="677"/>
    </row>
    <row r="282" spans="1:11" s="235" customFormat="1" ht="17.25">
      <c r="A282" s="97"/>
      <c r="B282" s="13" t="s">
        <v>307</v>
      </c>
      <c r="C282" s="13"/>
      <c r="D282" s="298"/>
      <c r="E282" s="298"/>
      <c r="F282" s="98"/>
      <c r="G282" s="98"/>
      <c r="H282" s="98">
        <v>0</v>
      </c>
      <c r="I282" s="98"/>
      <c r="J282" s="946"/>
      <c r="K282" s="677"/>
    </row>
    <row r="283" spans="1:11" s="235" customFormat="1" ht="17.25">
      <c r="A283" s="97"/>
      <c r="B283" s="13" t="s">
        <v>361</v>
      </c>
      <c r="C283" s="13"/>
      <c r="D283" s="298"/>
      <c r="E283" s="298"/>
      <c r="F283" s="98">
        <v>270157.25</v>
      </c>
      <c r="G283" s="98">
        <v>211390</v>
      </c>
      <c r="H283" s="98">
        <v>388610</v>
      </c>
      <c r="I283" s="98">
        <v>600000</v>
      </c>
      <c r="J283" s="946"/>
      <c r="K283" s="677"/>
    </row>
    <row r="284" spans="1:11" s="235" customFormat="1" ht="17.25">
      <c r="A284" s="97"/>
      <c r="B284" s="13" t="s">
        <v>518</v>
      </c>
      <c r="C284" s="13"/>
      <c r="D284" s="298"/>
      <c r="E284" s="298"/>
      <c r="F284" s="98"/>
      <c r="G284" s="98"/>
      <c r="H284" s="98">
        <v>0</v>
      </c>
      <c r="I284" s="98"/>
      <c r="J284" s="946"/>
      <c r="K284" s="677"/>
    </row>
    <row r="285" spans="1:11" s="235" customFormat="1" ht="17.25">
      <c r="A285" s="97"/>
      <c r="B285" s="13" t="s">
        <v>519</v>
      </c>
      <c r="C285" s="13"/>
      <c r="D285" s="298"/>
      <c r="E285" s="298"/>
      <c r="F285" s="98">
        <v>39000</v>
      </c>
      <c r="G285" s="98"/>
      <c r="H285" s="98"/>
      <c r="I285" s="98"/>
      <c r="J285" s="946"/>
      <c r="K285" s="677"/>
    </row>
    <row r="286" spans="1:11" s="235" customFormat="1" ht="17.25">
      <c r="A286" s="97"/>
      <c r="B286" s="13" t="s">
        <v>362</v>
      </c>
      <c r="C286" s="13"/>
      <c r="D286" s="298"/>
      <c r="E286" s="298"/>
      <c r="F286" s="98">
        <v>49450</v>
      </c>
      <c r="G286" s="98">
        <v>14961.1</v>
      </c>
      <c r="H286" s="98">
        <v>135038.9</v>
      </c>
      <c r="I286" s="98">
        <v>150000</v>
      </c>
      <c r="J286" s="946"/>
      <c r="K286" s="677"/>
    </row>
    <row r="287" spans="1:11" s="235" customFormat="1" ht="17.25">
      <c r="A287" s="97"/>
      <c r="B287" s="13" t="s">
        <v>363</v>
      </c>
      <c r="C287" s="13"/>
      <c r="D287" s="298"/>
      <c r="E287" s="298"/>
      <c r="F287" s="98">
        <v>76280</v>
      </c>
      <c r="G287" s="98">
        <v>157455</v>
      </c>
      <c r="H287" s="98">
        <v>142545</v>
      </c>
      <c r="I287" s="98">
        <v>300000</v>
      </c>
      <c r="J287" s="946"/>
      <c r="K287" s="677"/>
    </row>
    <row r="288" spans="1:11" s="235" customFormat="1" ht="17.25">
      <c r="A288" s="97"/>
      <c r="B288" s="13" t="s">
        <v>398</v>
      </c>
      <c r="C288" s="13"/>
      <c r="D288" s="298"/>
      <c r="E288" s="298"/>
      <c r="F288" s="98">
        <v>385643.15</v>
      </c>
      <c r="G288" s="98">
        <v>426476.1</v>
      </c>
      <c r="H288" s="98">
        <v>1073523.9</v>
      </c>
      <c r="I288" s="98">
        <v>1500000</v>
      </c>
      <c r="J288" s="946"/>
      <c r="K288" s="677"/>
    </row>
    <row r="289" spans="1:11" s="235" customFormat="1" ht="17.25">
      <c r="A289" s="97"/>
      <c r="B289" s="16" t="s">
        <v>568</v>
      </c>
      <c r="C289" s="13"/>
      <c r="D289" s="298"/>
      <c r="E289" s="298"/>
      <c r="F289" s="98"/>
      <c r="G289" s="98"/>
      <c r="H289" s="98"/>
      <c r="I289" s="98"/>
      <c r="J289" s="946"/>
      <c r="K289" s="677"/>
    </row>
    <row r="290" spans="1:11" s="235" customFormat="1" ht="17.25">
      <c r="A290" s="97"/>
      <c r="B290" s="11" t="s">
        <v>569</v>
      </c>
      <c r="C290" s="13"/>
      <c r="D290" s="298"/>
      <c r="E290" s="298"/>
      <c r="F290" s="98"/>
      <c r="G290" s="98"/>
      <c r="H290" s="98"/>
      <c r="I290" s="98"/>
      <c r="J290" s="98">
        <v>500000</v>
      </c>
      <c r="K290" s="677"/>
    </row>
    <row r="291" spans="1:11" s="235" customFormat="1" ht="17.25">
      <c r="A291" s="97"/>
      <c r="B291" s="11" t="s">
        <v>570</v>
      </c>
      <c r="C291" s="13"/>
      <c r="D291" s="298"/>
      <c r="E291" s="298"/>
      <c r="F291" s="98"/>
      <c r="G291" s="98"/>
      <c r="H291" s="98"/>
      <c r="I291" s="98"/>
      <c r="J291" s="98">
        <v>2000000</v>
      </c>
      <c r="K291" s="677"/>
    </row>
    <row r="292" spans="1:11" s="235" customFormat="1" ht="17.25">
      <c r="A292" s="97"/>
      <c r="B292" s="11" t="s">
        <v>571</v>
      </c>
      <c r="C292" s="13"/>
      <c r="D292" s="298"/>
      <c r="E292" s="298"/>
      <c r="F292" s="98"/>
      <c r="G292" s="98"/>
      <c r="H292" s="98"/>
      <c r="I292" s="98"/>
      <c r="J292" s="98">
        <v>1600000</v>
      </c>
      <c r="K292" s="677"/>
    </row>
    <row r="293" spans="1:11" s="235" customFormat="1" ht="17.25">
      <c r="A293" s="97"/>
      <c r="B293" s="11" t="s">
        <v>572</v>
      </c>
      <c r="C293" s="13"/>
      <c r="D293" s="298"/>
      <c r="E293" s="298"/>
      <c r="F293" s="98"/>
      <c r="G293" s="98"/>
      <c r="H293" s="98"/>
      <c r="I293" s="98"/>
      <c r="J293" s="98">
        <v>100000</v>
      </c>
      <c r="K293" s="677"/>
    </row>
    <row r="294" spans="1:11" s="235" customFormat="1" ht="17.25">
      <c r="A294" s="97"/>
      <c r="B294" s="11" t="s">
        <v>573</v>
      </c>
      <c r="C294" s="13"/>
      <c r="D294" s="298"/>
      <c r="E294" s="298"/>
      <c r="F294" s="98"/>
      <c r="G294" s="98"/>
      <c r="H294" s="98"/>
      <c r="I294" s="98"/>
      <c r="J294" s="98">
        <v>1100000</v>
      </c>
      <c r="K294" s="677"/>
    </row>
    <row r="295" spans="1:11" s="235" customFormat="1" ht="17.25">
      <c r="A295" s="97"/>
      <c r="B295" s="11" t="s">
        <v>482</v>
      </c>
      <c r="C295" s="13"/>
      <c r="D295" s="298"/>
      <c r="E295" s="298"/>
      <c r="F295" s="98"/>
      <c r="G295" s="98"/>
      <c r="H295" s="98"/>
      <c r="I295" s="98"/>
      <c r="J295" s="98">
        <v>3500000</v>
      </c>
      <c r="K295" s="677"/>
    </row>
    <row r="296" spans="1:11" s="235" customFormat="1" ht="17.25">
      <c r="A296" s="97"/>
      <c r="B296" s="11" t="s">
        <v>574</v>
      </c>
      <c r="C296" s="13"/>
      <c r="D296" s="298"/>
      <c r="E296" s="298"/>
      <c r="F296" s="98"/>
      <c r="G296" s="98"/>
      <c r="H296" s="98"/>
      <c r="I296" s="98"/>
      <c r="J296" s="98">
        <v>50000</v>
      </c>
      <c r="K296" s="677"/>
    </row>
    <row r="297" spans="1:11" s="235" customFormat="1" ht="17.25">
      <c r="A297" s="97"/>
      <c r="B297" s="11" t="s">
        <v>575</v>
      </c>
      <c r="C297" s="13"/>
      <c r="D297" s="298"/>
      <c r="E297" s="298"/>
      <c r="F297" s="98"/>
      <c r="G297" s="98"/>
      <c r="H297" s="98"/>
      <c r="I297" s="98"/>
      <c r="J297" s="98">
        <v>50000</v>
      </c>
      <c r="K297" s="677"/>
    </row>
    <row r="298" spans="1:11" s="235" customFormat="1" ht="17.25">
      <c r="A298" s="97"/>
      <c r="B298" s="11" t="s">
        <v>576</v>
      </c>
      <c r="C298" s="13"/>
      <c r="D298" s="298"/>
      <c r="E298" s="298"/>
      <c r="F298" s="98"/>
      <c r="G298" s="98"/>
      <c r="H298" s="98"/>
      <c r="I298" s="98"/>
      <c r="J298" s="98">
        <v>50000</v>
      </c>
      <c r="K298" s="677"/>
    </row>
    <row r="299" spans="1:11" s="235" customFormat="1" ht="17.25">
      <c r="A299" s="97"/>
      <c r="B299" s="363" t="s">
        <v>577</v>
      </c>
      <c r="C299" s="633"/>
      <c r="D299" s="298"/>
      <c r="E299" s="298"/>
      <c r="F299" s="98"/>
      <c r="G299" s="98"/>
      <c r="H299" s="98">
        <f>I299-G299</f>
        <v>0</v>
      </c>
      <c r="I299" s="98"/>
      <c r="J299" s="946"/>
      <c r="K299" s="677"/>
    </row>
    <row r="300" spans="1:11" s="235" customFormat="1" ht="17.25">
      <c r="A300" s="97"/>
      <c r="B300" s="319" t="s">
        <v>578</v>
      </c>
      <c r="C300" s="633"/>
      <c r="D300" s="298"/>
      <c r="E300" s="298"/>
      <c r="F300" s="98"/>
      <c r="G300" s="98"/>
      <c r="H300" s="98"/>
      <c r="I300" s="98"/>
      <c r="J300" s="98">
        <v>200000</v>
      </c>
      <c r="K300" s="677"/>
    </row>
    <row r="301" spans="1:11" s="235" customFormat="1" ht="17.25">
      <c r="A301" s="97"/>
      <c r="B301" s="11" t="s">
        <v>579</v>
      </c>
      <c r="C301" s="13"/>
      <c r="D301" s="298"/>
      <c r="E301" s="298"/>
      <c r="F301" s="98"/>
      <c r="G301" s="98"/>
      <c r="H301" s="98"/>
      <c r="I301" s="98"/>
      <c r="J301" s="98">
        <v>1800000</v>
      </c>
      <c r="K301" s="677"/>
    </row>
    <row r="302" spans="1:11" s="235" customFormat="1" ht="17.25">
      <c r="A302" s="97"/>
      <c r="B302" s="11" t="s">
        <v>580</v>
      </c>
      <c r="C302" s="13"/>
      <c r="D302" s="298"/>
      <c r="E302" s="298"/>
      <c r="F302" s="98"/>
      <c r="G302" s="98"/>
      <c r="H302" s="98"/>
      <c r="I302" s="98"/>
      <c r="J302" s="98">
        <v>400000</v>
      </c>
      <c r="K302" s="677"/>
    </row>
    <row r="303" spans="1:11" s="235" customFormat="1" ht="17.25">
      <c r="A303" s="97"/>
      <c r="B303" s="11" t="s">
        <v>366</v>
      </c>
      <c r="C303" s="13"/>
      <c r="D303" s="298"/>
      <c r="E303" s="298"/>
      <c r="F303" s="98"/>
      <c r="G303" s="98"/>
      <c r="H303" s="98"/>
      <c r="I303" s="98"/>
      <c r="J303" s="98">
        <v>100000</v>
      </c>
      <c r="K303" s="677"/>
    </row>
    <row r="304" spans="1:11" s="235" customFormat="1" ht="17.25">
      <c r="A304" s="97"/>
      <c r="B304" s="11" t="s">
        <v>581</v>
      </c>
      <c r="C304" s="13"/>
      <c r="D304" s="298"/>
      <c r="E304" s="298"/>
      <c r="F304" s="98"/>
      <c r="G304" s="98"/>
      <c r="H304" s="98"/>
      <c r="I304" s="98"/>
      <c r="J304" s="98">
        <v>50000</v>
      </c>
      <c r="K304" s="677"/>
    </row>
    <row r="305" spans="1:11" s="235" customFormat="1" ht="17.25">
      <c r="A305" s="97"/>
      <c r="B305" s="11" t="s">
        <v>582</v>
      </c>
      <c r="C305" s="13"/>
      <c r="D305" s="298"/>
      <c r="E305" s="298"/>
      <c r="F305" s="98"/>
      <c r="G305" s="98"/>
      <c r="H305" s="98"/>
      <c r="I305" s="98"/>
      <c r="J305" s="98">
        <v>100000</v>
      </c>
      <c r="K305" s="677"/>
    </row>
    <row r="306" spans="1:11" s="235" customFormat="1" ht="17.25">
      <c r="A306" s="97"/>
      <c r="B306" s="319" t="s">
        <v>583</v>
      </c>
      <c r="C306" s="13"/>
      <c r="D306" s="298"/>
      <c r="E306" s="298"/>
      <c r="F306" s="98"/>
      <c r="G306" s="98"/>
      <c r="H306" s="98"/>
      <c r="I306" s="98"/>
      <c r="J306" s="98">
        <v>100000</v>
      </c>
      <c r="K306" s="677"/>
    </row>
    <row r="307" spans="1:11" s="235" customFormat="1" ht="17.25">
      <c r="A307" s="97"/>
      <c r="B307" s="363" t="s">
        <v>584</v>
      </c>
      <c r="C307" s="13"/>
      <c r="D307" s="298"/>
      <c r="E307" s="298"/>
      <c r="F307" s="98"/>
      <c r="G307" s="98"/>
      <c r="H307" s="98"/>
      <c r="I307" s="98"/>
      <c r="J307" s="98"/>
      <c r="K307" s="677"/>
    </row>
    <row r="308" spans="1:11" s="235" customFormat="1" ht="17.25">
      <c r="A308" s="97"/>
      <c r="B308" s="319" t="s">
        <v>585</v>
      </c>
      <c r="C308" s="13"/>
      <c r="D308" s="298"/>
      <c r="E308" s="298"/>
      <c r="F308" s="98"/>
      <c r="G308" s="98"/>
      <c r="H308" s="98"/>
      <c r="I308" s="98"/>
      <c r="J308" s="98">
        <v>500000</v>
      </c>
      <c r="K308" s="677"/>
    </row>
    <row r="309" spans="1:11" s="235" customFormat="1" ht="17.25">
      <c r="A309" s="97"/>
      <c r="B309" s="319" t="s">
        <v>586</v>
      </c>
      <c r="C309" s="13"/>
      <c r="D309" s="298"/>
      <c r="E309" s="298"/>
      <c r="F309" s="98"/>
      <c r="G309" s="98"/>
      <c r="H309" s="98"/>
      <c r="I309" s="98"/>
      <c r="J309" s="98">
        <v>1400000</v>
      </c>
      <c r="K309" s="677"/>
    </row>
    <row r="310" spans="1:11" s="235" customFormat="1" ht="17.25">
      <c r="A310" s="97"/>
      <c r="B310" s="319" t="s">
        <v>587</v>
      </c>
      <c r="C310" s="13"/>
      <c r="D310" s="298"/>
      <c r="E310" s="298"/>
      <c r="F310" s="98"/>
      <c r="G310" s="98"/>
      <c r="H310" s="98"/>
      <c r="I310" s="98"/>
      <c r="J310" s="98">
        <v>800000</v>
      </c>
      <c r="K310" s="677"/>
    </row>
    <row r="311" spans="1:11" s="235" customFormat="1" ht="17.25">
      <c r="A311" s="97"/>
      <c r="B311" s="319" t="s">
        <v>588</v>
      </c>
      <c r="C311" s="13"/>
      <c r="D311" s="298"/>
      <c r="E311" s="298"/>
      <c r="F311" s="98"/>
      <c r="G311" s="98"/>
      <c r="H311" s="98"/>
      <c r="I311" s="98"/>
      <c r="J311" s="98">
        <v>50000</v>
      </c>
      <c r="K311" s="677"/>
    </row>
    <row r="312" spans="1:11" s="235" customFormat="1" ht="17.25">
      <c r="A312" s="97"/>
      <c r="B312" s="319" t="s">
        <v>589</v>
      </c>
      <c r="C312" s="13"/>
      <c r="D312" s="298"/>
      <c r="E312" s="298"/>
      <c r="F312" s="98"/>
      <c r="G312" s="98"/>
      <c r="H312" s="98"/>
      <c r="I312" s="98"/>
      <c r="J312" s="98">
        <v>300000</v>
      </c>
      <c r="K312" s="677"/>
    </row>
    <row r="313" spans="1:11" s="235" customFormat="1" ht="17.25">
      <c r="A313" s="97"/>
      <c r="B313" s="11" t="s">
        <v>590</v>
      </c>
      <c r="C313" s="13"/>
      <c r="D313" s="298"/>
      <c r="E313" s="298"/>
      <c r="F313" s="98"/>
      <c r="G313" s="98"/>
      <c r="H313" s="98"/>
      <c r="I313" s="98"/>
      <c r="J313" s="98">
        <v>100000</v>
      </c>
      <c r="K313" s="677"/>
    </row>
    <row r="314" spans="1:11" s="235" customFormat="1" ht="17.25">
      <c r="A314" s="97"/>
      <c r="B314" s="11" t="s">
        <v>591</v>
      </c>
      <c r="C314" s="13"/>
      <c r="D314" s="298"/>
      <c r="E314" s="298"/>
      <c r="F314" s="98"/>
      <c r="G314" s="98"/>
      <c r="H314" s="98"/>
      <c r="I314" s="98"/>
      <c r="J314" s="98">
        <v>50000</v>
      </c>
      <c r="K314" s="677"/>
    </row>
    <row r="315" spans="1:11" s="235" customFormat="1" ht="17.25">
      <c r="A315" s="97"/>
      <c r="B315" s="11" t="s">
        <v>592</v>
      </c>
      <c r="C315" s="13"/>
      <c r="D315" s="298"/>
      <c r="E315" s="298"/>
      <c r="F315" s="98"/>
      <c r="G315" s="98"/>
      <c r="H315" s="98"/>
      <c r="I315" s="98"/>
      <c r="J315" s="98">
        <v>400000</v>
      </c>
      <c r="K315" s="677"/>
    </row>
    <row r="316" spans="1:11" s="235" customFormat="1" ht="17.25">
      <c r="A316" s="97"/>
      <c r="B316" s="319" t="s">
        <v>593</v>
      </c>
      <c r="C316" s="13"/>
      <c r="D316" s="298"/>
      <c r="E316" s="298"/>
      <c r="F316" s="98"/>
      <c r="G316" s="98"/>
      <c r="H316" s="98"/>
      <c r="I316" s="98"/>
      <c r="J316" s="98">
        <v>50000</v>
      </c>
      <c r="K316" s="677"/>
    </row>
    <row r="317" spans="1:11" s="235" customFormat="1" ht="17.25">
      <c r="A317" s="97"/>
      <c r="B317" s="16" t="s">
        <v>594</v>
      </c>
      <c r="C317" s="13"/>
      <c r="D317" s="298"/>
      <c r="E317" s="298"/>
      <c r="F317" s="98"/>
      <c r="G317" s="98"/>
      <c r="H317" s="98"/>
      <c r="I317" s="98"/>
      <c r="J317" s="946"/>
      <c r="K317" s="677"/>
    </row>
    <row r="318" spans="1:11" s="235" customFormat="1" ht="17.25">
      <c r="A318" s="97"/>
      <c r="B318" s="11" t="s">
        <v>595</v>
      </c>
      <c r="C318" s="13"/>
      <c r="D318" s="298"/>
      <c r="E318" s="298"/>
      <c r="F318" s="98"/>
      <c r="G318" s="98"/>
      <c r="H318" s="98"/>
      <c r="I318" s="98"/>
      <c r="J318" s="98">
        <v>400000</v>
      </c>
      <c r="K318" s="677"/>
    </row>
    <row r="319" spans="1:11" s="235" customFormat="1" ht="17.25">
      <c r="A319" s="97"/>
      <c r="B319" s="11" t="s">
        <v>596</v>
      </c>
      <c r="C319" s="13"/>
      <c r="D319" s="298"/>
      <c r="E319" s="298"/>
      <c r="F319" s="98"/>
      <c r="G319" s="98"/>
      <c r="H319" s="98"/>
      <c r="I319" s="98"/>
      <c r="J319" s="98">
        <v>180000</v>
      </c>
      <c r="K319" s="677"/>
    </row>
    <row r="320" spans="1:11" s="235" customFormat="1" ht="17.25">
      <c r="A320" s="97"/>
      <c r="B320" s="11" t="s">
        <v>597</v>
      </c>
      <c r="C320" s="13"/>
      <c r="D320" s="298"/>
      <c r="E320" s="298"/>
      <c r="F320" s="98"/>
      <c r="G320" s="98"/>
      <c r="H320" s="98"/>
      <c r="I320" s="98"/>
      <c r="J320" s="98">
        <v>200000</v>
      </c>
      <c r="K320" s="677"/>
    </row>
    <row r="321" spans="1:11" s="235" customFormat="1" ht="17.25">
      <c r="A321" s="97"/>
      <c r="B321" s="11" t="s">
        <v>598</v>
      </c>
      <c r="C321" s="13"/>
      <c r="D321" s="298"/>
      <c r="E321" s="298"/>
      <c r="F321" s="98"/>
      <c r="G321" s="98"/>
      <c r="H321" s="98"/>
      <c r="I321" s="98"/>
      <c r="J321" s="98">
        <v>50000</v>
      </c>
      <c r="K321" s="677"/>
    </row>
    <row r="322" spans="1:11" s="235" customFormat="1" ht="17.25">
      <c r="A322" s="97"/>
      <c r="B322" s="11" t="s">
        <v>599</v>
      </c>
      <c r="C322" s="13"/>
      <c r="D322" s="298"/>
      <c r="E322" s="298"/>
      <c r="F322" s="98"/>
      <c r="G322" s="98"/>
      <c r="H322" s="98"/>
      <c r="I322" s="98"/>
      <c r="J322" s="98">
        <v>80000</v>
      </c>
      <c r="K322" s="677"/>
    </row>
    <row r="323" spans="1:11" s="235" customFormat="1" ht="17.25">
      <c r="A323" s="97"/>
      <c r="B323" s="11" t="s">
        <v>600</v>
      </c>
      <c r="C323" s="13"/>
      <c r="D323" s="298"/>
      <c r="E323" s="298"/>
      <c r="F323" s="98"/>
      <c r="G323" s="98"/>
      <c r="H323" s="98"/>
      <c r="I323" s="98"/>
      <c r="J323" s="98">
        <v>140000</v>
      </c>
      <c r="K323" s="677"/>
    </row>
    <row r="324" spans="1:11" s="235" customFormat="1" ht="17.25">
      <c r="A324" s="97"/>
      <c r="B324" s="11" t="s">
        <v>601</v>
      </c>
      <c r="C324" s="13"/>
      <c r="D324" s="298"/>
      <c r="E324" s="298"/>
      <c r="F324" s="98"/>
      <c r="G324" s="98"/>
      <c r="H324" s="98"/>
      <c r="I324" s="98"/>
      <c r="J324" s="98">
        <v>100000</v>
      </c>
      <c r="K324" s="677"/>
    </row>
    <row r="325" spans="1:11" s="235" customFormat="1" ht="17.25">
      <c r="A325" s="97"/>
      <c r="B325" s="11" t="s">
        <v>602</v>
      </c>
      <c r="C325" s="13"/>
      <c r="D325" s="298"/>
      <c r="E325" s="298"/>
      <c r="F325" s="98"/>
      <c r="G325" s="98"/>
      <c r="H325" s="98"/>
      <c r="I325" s="98"/>
      <c r="J325" s="98">
        <v>3000000</v>
      </c>
      <c r="K325" s="677"/>
    </row>
    <row r="326" spans="1:11" s="235" customFormat="1" ht="17.25">
      <c r="A326" s="97"/>
      <c r="B326" s="11" t="s">
        <v>603</v>
      </c>
      <c r="C326" s="13"/>
      <c r="D326" s="298"/>
      <c r="E326" s="298"/>
      <c r="F326" s="98"/>
      <c r="G326" s="98"/>
      <c r="H326" s="98"/>
      <c r="I326" s="98"/>
      <c r="J326" s="98">
        <v>500000</v>
      </c>
      <c r="K326" s="677"/>
    </row>
    <row r="327" spans="1:11" s="235" customFormat="1" ht="17.25">
      <c r="A327" s="97"/>
      <c r="B327" s="248" t="s">
        <v>604</v>
      </c>
      <c r="C327" s="13"/>
      <c r="D327" s="298"/>
      <c r="E327" s="298"/>
      <c r="F327" s="98"/>
      <c r="G327" s="98"/>
      <c r="H327" s="98"/>
      <c r="I327" s="98"/>
      <c r="J327" s="98"/>
      <c r="K327" s="677"/>
    </row>
    <row r="328" spans="1:11" s="235" customFormat="1" ht="17.25">
      <c r="A328" s="97"/>
      <c r="B328" s="11" t="s">
        <v>605</v>
      </c>
      <c r="C328" s="13"/>
      <c r="D328" s="298"/>
      <c r="E328" s="298"/>
      <c r="F328" s="98"/>
      <c r="G328" s="98"/>
      <c r="H328" s="98"/>
      <c r="I328" s="98"/>
      <c r="J328" s="98">
        <v>100000</v>
      </c>
      <c r="K328" s="677"/>
    </row>
    <row r="329" spans="1:11" s="235" customFormat="1" ht="17.25">
      <c r="A329" s="97"/>
      <c r="B329" s="11" t="s">
        <v>606</v>
      </c>
      <c r="C329" s="13"/>
      <c r="D329" s="298"/>
      <c r="E329" s="298"/>
      <c r="F329" s="98"/>
      <c r="G329" s="98"/>
      <c r="H329" s="98"/>
      <c r="I329" s="98"/>
      <c r="J329" s="98">
        <v>100000</v>
      </c>
      <c r="K329" s="677"/>
    </row>
    <row r="330" spans="1:11" s="235" customFormat="1" ht="17.25">
      <c r="A330" s="97"/>
      <c r="B330" s="11" t="s">
        <v>607</v>
      </c>
      <c r="C330" s="13"/>
      <c r="D330" s="298"/>
      <c r="E330" s="298"/>
      <c r="F330" s="98"/>
      <c r="G330" s="98"/>
      <c r="H330" s="98"/>
      <c r="I330" s="98"/>
      <c r="J330" s="98">
        <v>50000</v>
      </c>
      <c r="K330" s="677"/>
    </row>
    <row r="331" spans="1:11" s="235" customFormat="1" ht="17.25">
      <c r="A331" s="97"/>
      <c r="B331" s="248" t="s">
        <v>608</v>
      </c>
      <c r="C331" s="13"/>
      <c r="D331" s="298"/>
      <c r="E331" s="298"/>
      <c r="F331" s="98"/>
      <c r="G331" s="98"/>
      <c r="H331" s="98"/>
      <c r="I331" s="98"/>
      <c r="J331" s="98"/>
      <c r="K331" s="677"/>
    </row>
    <row r="332" spans="1:11" s="235" customFormat="1" ht="17.25">
      <c r="A332" s="97"/>
      <c r="B332" s="11" t="s">
        <v>611</v>
      </c>
      <c r="C332" s="13"/>
      <c r="D332" s="298"/>
      <c r="E332" s="298"/>
      <c r="F332" s="98"/>
      <c r="G332" s="98"/>
      <c r="H332" s="98"/>
      <c r="I332" s="98"/>
      <c r="J332" s="98"/>
      <c r="K332" s="677"/>
    </row>
    <row r="333" spans="1:11" s="235" customFormat="1" ht="17.25">
      <c r="A333" s="97"/>
      <c r="B333" s="11" t="s">
        <v>612</v>
      </c>
      <c r="C333" s="13"/>
      <c r="D333" s="298"/>
      <c r="E333" s="298"/>
      <c r="F333" s="98"/>
      <c r="G333" s="98"/>
      <c r="H333" s="98"/>
      <c r="I333" s="98"/>
      <c r="J333" s="98">
        <v>100000</v>
      </c>
      <c r="K333" s="677"/>
    </row>
    <row r="334" spans="1:11" s="235" customFormat="1" ht="17.25">
      <c r="A334" s="97"/>
      <c r="B334" s="11" t="s">
        <v>609</v>
      </c>
      <c r="C334" s="13"/>
      <c r="D334" s="298"/>
      <c r="E334" s="298"/>
      <c r="F334" s="98"/>
      <c r="G334" s="98"/>
      <c r="H334" s="98"/>
      <c r="I334" s="98"/>
      <c r="J334" s="98"/>
      <c r="K334" s="677"/>
    </row>
    <row r="335" spans="1:11" s="235" customFormat="1" ht="17.25">
      <c r="A335" s="97"/>
      <c r="B335" s="11" t="s">
        <v>610</v>
      </c>
      <c r="C335" s="13"/>
      <c r="D335" s="298"/>
      <c r="E335" s="298"/>
      <c r="F335" s="98"/>
      <c r="G335" s="98"/>
      <c r="H335" s="98"/>
      <c r="I335" s="98"/>
      <c r="J335" s="98">
        <v>100000</v>
      </c>
      <c r="K335" s="677"/>
    </row>
    <row r="336" spans="1:11" s="235" customFormat="1" ht="20.25">
      <c r="A336" s="322" t="s">
        <v>127</v>
      </c>
      <c r="B336" s="100"/>
      <c r="C336" s="100"/>
      <c r="D336" s="292"/>
      <c r="E336" s="292"/>
      <c r="F336" s="96">
        <f>F337+F338+F339+F340+F341+F343+F344+F347+F348+F349+F350+F351+F353+F354+F355+F356+F357+F358+F359+F360+F361+F362+F363+F364+F365+F366+F372+F373+F374+F375</f>
        <v>10398387.97</v>
      </c>
      <c r="G336" s="96">
        <f>G338+G339+G340+G341+G342+G343+G344+G345+G346+G347+G348+G349+G350+G351+G352+G353+G354+G355+G356+G357+G358+G359+G360+G361+G362+G363+G364+G365+G366+G371+G372+G373+G374+G375+G376+G377+G378+G379+G380+G381+G382+G383+G384+G385+G386+G387+G388+G389</f>
        <v>2032315.3599999999</v>
      </c>
      <c r="H336" s="96">
        <f>H338+H339+H340+H341+H342+H343+H344+H345+H346+H347+H348+H349+H350+H351+H352+H353+H354+H355+H356+H357+H358+H359+H360+H361+H362+H363+H364+H365+H366+H371+H372+H373+H374+H375+H376+H377+H378+H379+H380+H381+H382+H383+H384+H385+H386+H387+H388+H389</f>
        <v>11327975.24</v>
      </c>
      <c r="I336" s="96">
        <f>I338+I339+I340+I341+I342+I343+I344+I345+I346+I347+I348+I349+I350+I351+I352+I353+I354+I355+I356+I357+I358+I359+I360+I361+I362+I363+I364+I365+I366+I371+I372+I373+I374+I375+I376+I377+I378+I379+I380+I381+I382+I383+I384+I385+I386+I387+I388+I389</f>
        <v>13360290.6</v>
      </c>
      <c r="J336" s="96">
        <f>J337+J338+J339+J340+J341+J342+J345+J347+J348+J349+J350+J352+J353+J355+J357+J358+J362+J363+J364+J366+J371+J372+J375+J376+J377+J378+J379+J380+J381+J384+J385+J386+J387+J388+J389</f>
        <v>14200000</v>
      </c>
      <c r="K336" s="677"/>
    </row>
    <row r="337" spans="1:11" s="235" customFormat="1" ht="17.25">
      <c r="A337" s="97"/>
      <c r="B337" s="11" t="s">
        <v>314</v>
      </c>
      <c r="C337" s="309"/>
      <c r="D337" s="298"/>
      <c r="E337" s="298"/>
      <c r="F337" s="323">
        <v>326093.6</v>
      </c>
      <c r="G337" s="323"/>
      <c r="H337" s="318"/>
      <c r="I337" s="323"/>
      <c r="J337" s="1025">
        <v>550000</v>
      </c>
      <c r="K337" s="677"/>
    </row>
    <row r="338" spans="1:11" s="235" customFormat="1" ht="17.25">
      <c r="A338" s="97"/>
      <c r="B338" s="11" t="s">
        <v>128</v>
      </c>
      <c r="C338" s="311"/>
      <c r="D338" s="298"/>
      <c r="E338" s="298"/>
      <c r="F338" s="304">
        <v>52584.45</v>
      </c>
      <c r="G338" s="304">
        <v>4000</v>
      </c>
      <c r="H338" s="98">
        <v>96000</v>
      </c>
      <c r="I338" s="304">
        <v>100000</v>
      </c>
      <c r="J338" s="1023">
        <v>100000</v>
      </c>
      <c r="K338" s="677"/>
    </row>
    <row r="339" spans="1:11" s="235" customFormat="1" ht="17.25">
      <c r="A339" s="97"/>
      <c r="B339" s="11" t="s">
        <v>129</v>
      </c>
      <c r="C339" s="309"/>
      <c r="D339" s="298"/>
      <c r="E339" s="298"/>
      <c r="F339" s="304">
        <v>200000</v>
      </c>
      <c r="G339" s="304">
        <v>150000</v>
      </c>
      <c r="H339" s="98">
        <v>150000</v>
      </c>
      <c r="I339" s="304">
        <v>300000</v>
      </c>
      <c r="J339" s="1023">
        <v>400000</v>
      </c>
      <c r="K339" s="677"/>
    </row>
    <row r="340" spans="1:11" s="235" customFormat="1" ht="17.25">
      <c r="A340" s="97"/>
      <c r="B340" s="11" t="s">
        <v>130</v>
      </c>
      <c r="C340" s="309"/>
      <c r="D340" s="298"/>
      <c r="E340" s="298"/>
      <c r="F340" s="304">
        <v>500000</v>
      </c>
      <c r="G340" s="304"/>
      <c r="H340" s="98">
        <v>500000</v>
      </c>
      <c r="I340" s="304">
        <v>500000</v>
      </c>
      <c r="J340" s="1023">
        <v>500000</v>
      </c>
      <c r="K340" s="677"/>
    </row>
    <row r="341" spans="1:11" s="235" customFormat="1" ht="17.25">
      <c r="A341" s="97"/>
      <c r="B341" s="11" t="s">
        <v>298</v>
      </c>
      <c r="C341" s="309"/>
      <c r="D341" s="298"/>
      <c r="E341" s="298"/>
      <c r="F341" s="304">
        <v>466950</v>
      </c>
      <c r="G341" s="304"/>
      <c r="H341" s="98">
        <v>50000</v>
      </c>
      <c r="I341" s="304">
        <v>50000</v>
      </c>
      <c r="J341" s="1023">
        <v>650000</v>
      </c>
      <c r="K341" s="677"/>
    </row>
    <row r="342" spans="1:11" s="235" customFormat="1" ht="17.25">
      <c r="A342" s="97"/>
      <c r="B342" s="11" t="s">
        <v>131</v>
      </c>
      <c r="C342" s="309"/>
      <c r="D342" s="298"/>
      <c r="E342" s="298"/>
      <c r="F342" s="304"/>
      <c r="G342" s="304"/>
      <c r="H342" s="98">
        <v>0</v>
      </c>
      <c r="I342" s="304"/>
      <c r="J342" s="1023">
        <v>1382000</v>
      </c>
      <c r="K342" s="677"/>
    </row>
    <row r="343" spans="1:11" s="235" customFormat="1" ht="17.25">
      <c r="A343" s="97"/>
      <c r="B343" s="11" t="s">
        <v>132</v>
      </c>
      <c r="C343" s="309"/>
      <c r="D343" s="298"/>
      <c r="E343" s="298"/>
      <c r="F343" s="304">
        <v>315106</v>
      </c>
      <c r="G343" s="304"/>
      <c r="H343" s="98">
        <v>0</v>
      </c>
      <c r="I343" s="304"/>
      <c r="J343" s="1023"/>
      <c r="K343" s="677"/>
    </row>
    <row r="344" spans="1:11" s="235" customFormat="1" ht="17.25">
      <c r="A344" s="97"/>
      <c r="B344" s="11" t="s">
        <v>297</v>
      </c>
      <c r="C344" s="309"/>
      <c r="D344" s="298"/>
      <c r="E344" s="298"/>
      <c r="F344" s="304">
        <v>241570</v>
      </c>
      <c r="G344" s="304"/>
      <c r="H344" s="98">
        <v>0</v>
      </c>
      <c r="I344" s="304"/>
      <c r="J344" s="1023"/>
      <c r="K344" s="677"/>
    </row>
    <row r="345" spans="1:11" s="235" customFormat="1" ht="17.25">
      <c r="A345" s="97"/>
      <c r="B345" s="229" t="s">
        <v>288</v>
      </c>
      <c r="C345" s="311"/>
      <c r="D345" s="298"/>
      <c r="E345" s="298"/>
      <c r="F345" s="304"/>
      <c r="G345" s="304">
        <v>448856.61</v>
      </c>
      <c r="H345" s="98">
        <v>151143.39</v>
      </c>
      <c r="I345" s="304">
        <v>600000</v>
      </c>
      <c r="J345" s="1023">
        <v>2000000</v>
      </c>
      <c r="K345" s="677"/>
    </row>
    <row r="346" spans="1:11" s="235" customFormat="1" ht="17.25">
      <c r="A346" s="97"/>
      <c r="B346" s="11" t="s">
        <v>482</v>
      </c>
      <c r="C346" s="309"/>
      <c r="D346" s="298"/>
      <c r="E346" s="298"/>
      <c r="F346" s="304"/>
      <c r="G346" s="304">
        <v>260979.75</v>
      </c>
      <c r="H346" s="98">
        <v>0</v>
      </c>
      <c r="I346" s="304">
        <v>260979.75</v>
      </c>
      <c r="J346" s="1023"/>
      <c r="K346" s="677"/>
    </row>
    <row r="347" spans="1:11" s="235" customFormat="1" ht="17.25">
      <c r="A347" s="97"/>
      <c r="B347" s="11" t="s">
        <v>289</v>
      </c>
      <c r="C347" s="309"/>
      <c r="D347" s="298"/>
      <c r="E347" s="298"/>
      <c r="F347" s="304">
        <v>499600</v>
      </c>
      <c r="G347" s="304">
        <v>12069</v>
      </c>
      <c r="H347" s="98">
        <v>0</v>
      </c>
      <c r="I347" s="304">
        <v>12069</v>
      </c>
      <c r="J347" s="1023">
        <v>500000</v>
      </c>
      <c r="K347" s="677"/>
    </row>
    <row r="348" spans="1:11" s="235" customFormat="1" ht="17.25">
      <c r="A348" s="97"/>
      <c r="B348" s="11" t="s">
        <v>399</v>
      </c>
      <c r="C348" s="309"/>
      <c r="D348" s="298"/>
      <c r="E348" s="298"/>
      <c r="F348" s="304">
        <v>275260.88</v>
      </c>
      <c r="G348" s="304"/>
      <c r="H348" s="98">
        <v>0</v>
      </c>
      <c r="I348" s="304"/>
      <c r="J348" s="1023">
        <v>228000</v>
      </c>
      <c r="K348" s="677"/>
    </row>
    <row r="349" spans="1:11" s="235" customFormat="1" ht="17.25">
      <c r="A349" s="97"/>
      <c r="B349" s="11" t="s">
        <v>290</v>
      </c>
      <c r="C349" s="309"/>
      <c r="D349" s="298"/>
      <c r="E349" s="298"/>
      <c r="F349" s="304">
        <v>39600</v>
      </c>
      <c r="G349" s="304"/>
      <c r="H349" s="98">
        <v>150000</v>
      </c>
      <c r="I349" s="304">
        <v>150000</v>
      </c>
      <c r="J349" s="1023">
        <v>400000</v>
      </c>
      <c r="K349" s="677"/>
    </row>
    <row r="350" spans="1:11" s="235" customFormat="1" ht="17.25">
      <c r="A350" s="97"/>
      <c r="B350" s="11" t="s">
        <v>299</v>
      </c>
      <c r="C350" s="309"/>
      <c r="D350" s="298"/>
      <c r="E350" s="298"/>
      <c r="F350" s="304">
        <v>500000</v>
      </c>
      <c r="G350" s="304"/>
      <c r="H350" s="98">
        <v>0</v>
      </c>
      <c r="I350" s="304"/>
      <c r="J350" s="1023">
        <v>300000</v>
      </c>
      <c r="K350" s="677"/>
    </row>
    <row r="351" spans="1:11" s="235" customFormat="1" ht="17.25">
      <c r="A351" s="97"/>
      <c r="B351" s="11" t="s">
        <v>296</v>
      </c>
      <c r="C351" s="309"/>
      <c r="D351" s="298"/>
      <c r="E351" s="298"/>
      <c r="F351" s="304">
        <v>945366.75</v>
      </c>
      <c r="G351" s="304"/>
      <c r="H351" s="98">
        <v>0</v>
      </c>
      <c r="I351" s="304"/>
      <c r="J351" s="1023"/>
      <c r="K351" s="677"/>
    </row>
    <row r="352" spans="1:11" s="235" customFormat="1" ht="17.25">
      <c r="A352" s="97"/>
      <c r="B352" s="11" t="s">
        <v>292</v>
      </c>
      <c r="C352" s="309"/>
      <c r="D352" s="298"/>
      <c r="E352" s="298"/>
      <c r="F352" s="304"/>
      <c r="G352" s="304"/>
      <c r="H352" s="98">
        <v>2200000</v>
      </c>
      <c r="I352" s="304">
        <v>2200000</v>
      </c>
      <c r="J352" s="1023">
        <v>2600000</v>
      </c>
      <c r="K352" s="677"/>
    </row>
    <row r="353" spans="1:11" s="235" customFormat="1" ht="17.25">
      <c r="A353" s="325"/>
      <c r="B353" s="11" t="s">
        <v>329</v>
      </c>
      <c r="C353" s="309"/>
      <c r="D353" s="298"/>
      <c r="E353" s="298"/>
      <c r="F353" s="304">
        <v>186585</v>
      </c>
      <c r="G353" s="304"/>
      <c r="H353" s="98">
        <v>0</v>
      </c>
      <c r="I353" s="304"/>
      <c r="J353" s="1023">
        <v>100000</v>
      </c>
      <c r="K353" s="677"/>
    </row>
    <row r="354" spans="1:11" s="235" customFormat="1" ht="17.25">
      <c r="A354" s="97"/>
      <c r="B354" s="11" t="s">
        <v>409</v>
      </c>
      <c r="C354" s="309"/>
      <c r="D354" s="298"/>
      <c r="E354" s="298"/>
      <c r="F354" s="304">
        <v>1184472.96</v>
      </c>
      <c r="G354" s="304"/>
      <c r="H354" s="98">
        <v>0</v>
      </c>
      <c r="I354" s="304"/>
      <c r="J354" s="1023"/>
      <c r="K354" s="677"/>
    </row>
    <row r="355" spans="1:11" s="235" customFormat="1" ht="17.25">
      <c r="A355" s="97"/>
      <c r="B355" s="11" t="s">
        <v>511</v>
      </c>
      <c r="C355" s="309"/>
      <c r="D355" s="298"/>
      <c r="E355" s="298"/>
      <c r="F355" s="304">
        <v>777358</v>
      </c>
      <c r="G355" s="304"/>
      <c r="H355" s="98">
        <v>0</v>
      </c>
      <c r="I355" s="304"/>
      <c r="J355" s="1023">
        <v>1160000</v>
      </c>
      <c r="K355" s="677"/>
    </row>
    <row r="356" spans="1:11" s="235" customFormat="1" ht="17.25">
      <c r="A356" s="97"/>
      <c r="B356" s="11" t="s">
        <v>330</v>
      </c>
      <c r="C356" s="309"/>
      <c r="D356" s="298"/>
      <c r="E356" s="298"/>
      <c r="F356" s="304">
        <v>228840</v>
      </c>
      <c r="G356" s="304"/>
      <c r="H356" s="98">
        <v>0</v>
      </c>
      <c r="I356" s="304"/>
      <c r="J356" s="1023"/>
      <c r="K356" s="677"/>
    </row>
    <row r="357" spans="1:11" s="235" customFormat="1" ht="17.25">
      <c r="A357" s="97"/>
      <c r="B357" s="11" t="s">
        <v>331</v>
      </c>
      <c r="C357" s="309"/>
      <c r="D357" s="298"/>
      <c r="E357" s="298"/>
      <c r="F357" s="304">
        <v>89765</v>
      </c>
      <c r="G357" s="304"/>
      <c r="H357" s="98">
        <v>0</v>
      </c>
      <c r="I357" s="304"/>
      <c r="J357" s="1023">
        <v>30000</v>
      </c>
      <c r="K357" s="677"/>
    </row>
    <row r="358" spans="1:11" s="235" customFormat="1" ht="17.25">
      <c r="A358" s="97"/>
      <c r="B358" s="11" t="s">
        <v>336</v>
      </c>
      <c r="C358" s="634"/>
      <c r="D358" s="298"/>
      <c r="E358" s="298"/>
      <c r="F358" s="304">
        <v>99980.85</v>
      </c>
      <c r="G358" s="304"/>
      <c r="H358" s="98">
        <v>70000</v>
      </c>
      <c r="I358" s="304">
        <v>70000</v>
      </c>
      <c r="J358" s="1023">
        <v>200000</v>
      </c>
      <c r="K358" s="677"/>
    </row>
    <row r="359" spans="1:11" s="235" customFormat="1" ht="17.25">
      <c r="A359" s="97"/>
      <c r="B359" s="11" t="s">
        <v>332</v>
      </c>
      <c r="C359" s="635"/>
      <c r="D359" s="298"/>
      <c r="E359" s="298"/>
      <c r="F359" s="304">
        <v>99200</v>
      </c>
      <c r="G359" s="304"/>
      <c r="H359" s="98">
        <v>0</v>
      </c>
      <c r="I359" s="304"/>
      <c r="J359" s="1023"/>
      <c r="K359" s="677"/>
    </row>
    <row r="360" spans="1:11" s="235" customFormat="1" ht="17.25">
      <c r="A360" s="97"/>
      <c r="B360" s="11" t="s">
        <v>333</v>
      </c>
      <c r="C360" s="635"/>
      <c r="D360" s="298"/>
      <c r="E360" s="298"/>
      <c r="F360" s="304">
        <v>96000</v>
      </c>
      <c r="G360" s="304"/>
      <c r="H360" s="98">
        <v>0</v>
      </c>
      <c r="I360" s="304"/>
      <c r="J360" s="1023"/>
      <c r="K360" s="677"/>
    </row>
    <row r="361" spans="1:11" s="235" customFormat="1" ht="17.25">
      <c r="A361" s="97"/>
      <c r="B361" s="11" t="s">
        <v>339</v>
      </c>
      <c r="C361" s="99"/>
      <c r="D361" s="298"/>
      <c r="E361" s="298"/>
      <c r="F361" s="304">
        <v>198133.82</v>
      </c>
      <c r="G361" s="304"/>
      <c r="H361" s="98">
        <v>0</v>
      </c>
      <c r="I361" s="304"/>
      <c r="J361" s="1023"/>
      <c r="K361" s="677"/>
    </row>
    <row r="362" spans="1:11" s="235" customFormat="1" ht="17.25">
      <c r="A362" s="97"/>
      <c r="B362" s="11" t="s">
        <v>345</v>
      </c>
      <c r="C362" s="99"/>
      <c r="D362" s="298"/>
      <c r="E362" s="298"/>
      <c r="F362" s="304">
        <v>147660</v>
      </c>
      <c r="G362" s="304"/>
      <c r="H362" s="98">
        <v>0</v>
      </c>
      <c r="I362" s="304"/>
      <c r="J362" s="1023">
        <v>100000</v>
      </c>
      <c r="K362" s="677"/>
    </row>
    <row r="363" spans="1:11" s="235" customFormat="1" ht="17.25">
      <c r="A363" s="97"/>
      <c r="B363" s="229" t="s">
        <v>334</v>
      </c>
      <c r="C363" s="99"/>
      <c r="D363" s="298"/>
      <c r="E363" s="298"/>
      <c r="F363" s="304">
        <v>220675</v>
      </c>
      <c r="G363" s="304"/>
      <c r="H363" s="98">
        <v>0</v>
      </c>
      <c r="I363" s="304"/>
      <c r="J363" s="1023">
        <v>350000</v>
      </c>
      <c r="K363" s="677"/>
    </row>
    <row r="364" spans="1:11" s="235" customFormat="1" ht="17.25">
      <c r="A364" s="97"/>
      <c r="B364" s="229" t="s">
        <v>335</v>
      </c>
      <c r="C364" s="326"/>
      <c r="D364" s="298"/>
      <c r="E364" s="298"/>
      <c r="F364" s="304">
        <v>91760</v>
      </c>
      <c r="G364" s="304"/>
      <c r="H364" s="98">
        <v>0</v>
      </c>
      <c r="I364" s="304"/>
      <c r="J364" s="1023">
        <v>95000</v>
      </c>
      <c r="K364" s="677"/>
    </row>
    <row r="365" spans="1:11" s="235" customFormat="1" ht="17.25">
      <c r="A365" s="97"/>
      <c r="B365" s="229" t="s">
        <v>340</v>
      </c>
      <c r="C365" s="326"/>
      <c r="D365" s="298"/>
      <c r="E365" s="298"/>
      <c r="F365" s="304">
        <v>68643.71</v>
      </c>
      <c r="G365" s="304"/>
      <c r="H365" s="98">
        <v>0</v>
      </c>
      <c r="I365" s="304"/>
      <c r="J365" s="1023"/>
      <c r="K365" s="677"/>
    </row>
    <row r="366" spans="1:11" s="235" customFormat="1" ht="17.25">
      <c r="A366" s="377"/>
      <c r="B366" s="1011" t="s">
        <v>341</v>
      </c>
      <c r="C366" s="381"/>
      <c r="D366" s="291"/>
      <c r="E366" s="291"/>
      <c r="F366" s="306">
        <v>74655.74</v>
      </c>
      <c r="G366" s="306"/>
      <c r="H366" s="313">
        <v>0</v>
      </c>
      <c r="I366" s="306"/>
      <c r="J366" s="1026">
        <v>60000</v>
      </c>
      <c r="K366" s="677"/>
    </row>
    <row r="367" spans="1:11" s="235" customFormat="1" ht="18.75" customHeight="1">
      <c r="A367" s="81" t="str">
        <f>A1</f>
        <v>LBP Form No. 1</v>
      </c>
      <c r="B367" s="229"/>
      <c r="C367" s="14"/>
      <c r="D367" s="100"/>
      <c r="E367" s="100"/>
      <c r="F367" s="302"/>
      <c r="G367" s="302"/>
      <c r="H367" s="327"/>
      <c r="I367" s="302"/>
      <c r="J367" s="302"/>
      <c r="K367" s="677"/>
    </row>
    <row r="368" spans="1:11" s="235" customFormat="1" ht="18.75" customHeight="1">
      <c r="A368" s="81" t="s">
        <v>278</v>
      </c>
      <c r="B368" s="309"/>
      <c r="C368" s="14"/>
      <c r="D368" s="100"/>
      <c r="E368" s="100"/>
      <c r="F368" s="302"/>
      <c r="G368" s="302"/>
      <c r="H368" s="327"/>
      <c r="I368" s="302"/>
      <c r="J368" s="302"/>
      <c r="K368" s="677"/>
    </row>
    <row r="369" spans="1:11" s="235" customFormat="1" ht="18.75" customHeight="1">
      <c r="A369" s="100"/>
      <c r="B369" s="309"/>
      <c r="C369" s="14"/>
      <c r="D369" s="100"/>
      <c r="E369" s="100"/>
      <c r="F369" s="302"/>
      <c r="G369" s="302"/>
      <c r="H369" s="327"/>
      <c r="I369" s="302"/>
      <c r="J369" s="302"/>
      <c r="K369" s="677"/>
    </row>
    <row r="370" spans="1:11" s="235" customFormat="1" ht="18.75" customHeight="1">
      <c r="A370" s="100"/>
      <c r="B370" s="309"/>
      <c r="C370" s="14"/>
      <c r="D370" s="100"/>
      <c r="E370" s="100"/>
      <c r="F370" s="302"/>
      <c r="G370" s="302"/>
      <c r="H370" s="327"/>
      <c r="I370" s="302"/>
      <c r="J370" s="302"/>
      <c r="K370" s="677"/>
    </row>
    <row r="371" spans="1:11" s="235" customFormat="1" ht="17.25">
      <c r="A371" s="294"/>
      <c r="B371" s="373" t="s">
        <v>509</v>
      </c>
      <c r="C371" s="374"/>
      <c r="D371" s="296"/>
      <c r="E371" s="296"/>
      <c r="F371" s="323"/>
      <c r="G371" s="323"/>
      <c r="H371" s="318">
        <v>0</v>
      </c>
      <c r="I371" s="323"/>
      <c r="J371" s="1025">
        <v>50000</v>
      </c>
      <c r="K371" s="677"/>
    </row>
    <row r="372" spans="1:11" s="235" customFormat="1" ht="17.25">
      <c r="A372" s="97"/>
      <c r="B372" s="229" t="s">
        <v>342</v>
      </c>
      <c r="C372" s="326"/>
      <c r="D372" s="298"/>
      <c r="E372" s="298"/>
      <c r="F372" s="304">
        <v>63000</v>
      </c>
      <c r="G372" s="304"/>
      <c r="H372" s="98">
        <v>0</v>
      </c>
      <c r="I372" s="304"/>
      <c r="J372" s="1023">
        <v>60000</v>
      </c>
      <c r="K372" s="677"/>
    </row>
    <row r="373" spans="1:11" s="235" customFormat="1" ht="17.25">
      <c r="A373" s="97"/>
      <c r="B373" s="229" t="s">
        <v>343</v>
      </c>
      <c r="C373" s="326"/>
      <c r="D373" s="298"/>
      <c r="E373" s="298"/>
      <c r="F373" s="304">
        <v>246532.87</v>
      </c>
      <c r="G373" s="304">
        <v>197684</v>
      </c>
      <c r="H373" s="98">
        <v>2316</v>
      </c>
      <c r="I373" s="304">
        <v>200000</v>
      </c>
      <c r="J373" s="1023"/>
      <c r="K373" s="677"/>
    </row>
    <row r="374" spans="1:11" s="235" customFormat="1" ht="17.25">
      <c r="A374" s="97"/>
      <c r="B374" s="229" t="s">
        <v>344</v>
      </c>
      <c r="C374" s="326"/>
      <c r="D374" s="298"/>
      <c r="E374" s="298"/>
      <c r="F374" s="304">
        <v>1875541.34</v>
      </c>
      <c r="G374" s="304"/>
      <c r="H374" s="98">
        <v>0</v>
      </c>
      <c r="I374" s="304"/>
      <c r="J374" s="1023"/>
      <c r="K374" s="677"/>
    </row>
    <row r="375" spans="1:11" s="235" customFormat="1" ht="17.25">
      <c r="A375" s="97"/>
      <c r="B375" s="229" t="s">
        <v>322</v>
      </c>
      <c r="C375" s="326"/>
      <c r="D375" s="298"/>
      <c r="E375" s="298"/>
      <c r="F375" s="304">
        <v>287452</v>
      </c>
      <c r="G375" s="304"/>
      <c r="H375" s="98">
        <v>0</v>
      </c>
      <c r="I375" s="304"/>
      <c r="J375" s="1023">
        <v>145000</v>
      </c>
      <c r="K375" s="677"/>
    </row>
    <row r="376" spans="1:11" s="235" customFormat="1" ht="17.25">
      <c r="A376" s="97"/>
      <c r="B376" s="229" t="s">
        <v>447</v>
      </c>
      <c r="C376" s="326"/>
      <c r="D376" s="298"/>
      <c r="E376" s="298"/>
      <c r="F376" s="304"/>
      <c r="G376" s="304"/>
      <c r="H376" s="98">
        <v>0</v>
      </c>
      <c r="I376" s="304"/>
      <c r="J376" s="1023">
        <v>40000</v>
      </c>
      <c r="K376" s="677"/>
    </row>
    <row r="377" spans="1:11" s="235" customFormat="1" ht="17.25">
      <c r="A377" s="97"/>
      <c r="B377" s="229" t="s">
        <v>328</v>
      </c>
      <c r="C377" s="326"/>
      <c r="D377" s="298"/>
      <c r="E377" s="298"/>
      <c r="F377" s="304"/>
      <c r="G377" s="304"/>
      <c r="H377" s="98">
        <v>0</v>
      </c>
      <c r="I377" s="304"/>
      <c r="J377" s="1023">
        <v>270000</v>
      </c>
      <c r="K377" s="677"/>
    </row>
    <row r="378" spans="1:11" s="235" customFormat="1" ht="17.25">
      <c r="A378" s="97"/>
      <c r="B378" s="229" t="s">
        <v>448</v>
      </c>
      <c r="C378" s="326"/>
      <c r="D378" s="298"/>
      <c r="E378" s="298"/>
      <c r="F378" s="304"/>
      <c r="G378" s="304"/>
      <c r="H378" s="98">
        <v>100000</v>
      </c>
      <c r="I378" s="304">
        <v>100000</v>
      </c>
      <c r="J378" s="1023">
        <v>100000</v>
      </c>
      <c r="K378" s="677"/>
    </row>
    <row r="379" spans="1:11" s="235" customFormat="1" ht="17.25">
      <c r="A379" s="97"/>
      <c r="B379" s="229" t="s">
        <v>449</v>
      </c>
      <c r="C379" s="326"/>
      <c r="D379" s="298"/>
      <c r="E379" s="298"/>
      <c r="F379" s="304"/>
      <c r="G379" s="304"/>
      <c r="H379" s="98">
        <v>0</v>
      </c>
      <c r="I379" s="304"/>
      <c r="J379" s="1023">
        <v>80000</v>
      </c>
      <c r="K379" s="677"/>
    </row>
    <row r="380" spans="1:11" s="235" customFormat="1" ht="17.25">
      <c r="A380" s="97"/>
      <c r="B380" s="229" t="s">
        <v>450</v>
      </c>
      <c r="C380" s="326"/>
      <c r="D380" s="298"/>
      <c r="E380" s="298"/>
      <c r="F380" s="304"/>
      <c r="G380" s="304"/>
      <c r="H380" s="98">
        <v>0</v>
      </c>
      <c r="I380" s="304"/>
      <c r="J380" s="1023">
        <v>100000</v>
      </c>
      <c r="K380" s="677"/>
    </row>
    <row r="381" spans="1:11" s="235" customFormat="1" ht="17.25">
      <c r="A381" s="97"/>
      <c r="B381" s="229" t="s">
        <v>451</v>
      </c>
      <c r="C381" s="99"/>
      <c r="D381" s="298"/>
      <c r="E381" s="298"/>
      <c r="F381" s="304"/>
      <c r="G381" s="304">
        <v>57226</v>
      </c>
      <c r="H381" s="98">
        <v>142774</v>
      </c>
      <c r="I381" s="304">
        <v>200000</v>
      </c>
      <c r="J381" s="1023">
        <v>200000</v>
      </c>
      <c r="K381" s="677"/>
    </row>
    <row r="382" spans="1:11" s="235" customFormat="1" ht="17.25">
      <c r="A382" s="97"/>
      <c r="B382" s="229" t="s">
        <v>620</v>
      </c>
      <c r="C382" s="99"/>
      <c r="D382" s="298"/>
      <c r="E382" s="298"/>
      <c r="F382" s="304"/>
      <c r="G382" s="304"/>
      <c r="H382" s="98">
        <v>500000</v>
      </c>
      <c r="I382" s="304">
        <v>500000</v>
      </c>
      <c r="J382" s="1023"/>
      <c r="K382" s="677"/>
    </row>
    <row r="383" spans="1:11" s="235" customFormat="1" ht="17.25">
      <c r="A383" s="97"/>
      <c r="B383" s="229" t="s">
        <v>621</v>
      </c>
      <c r="C383" s="99"/>
      <c r="D383" s="298"/>
      <c r="E383" s="298"/>
      <c r="F383" s="304"/>
      <c r="G383" s="304">
        <v>901500</v>
      </c>
      <c r="H383" s="98">
        <v>7215741.85</v>
      </c>
      <c r="I383" s="304">
        <v>8117241.85</v>
      </c>
      <c r="J383" s="1023"/>
      <c r="K383" s="677"/>
    </row>
    <row r="384" spans="1:11" s="235" customFormat="1" ht="17.25">
      <c r="A384" s="97"/>
      <c r="B384" s="229" t="s">
        <v>508</v>
      </c>
      <c r="C384" s="99"/>
      <c r="D384" s="298"/>
      <c r="E384" s="298"/>
      <c r="F384" s="304"/>
      <c r="G384" s="304"/>
      <c r="H384" s="98"/>
      <c r="I384" s="304"/>
      <c r="J384" s="1023">
        <v>300000</v>
      </c>
      <c r="K384" s="677"/>
    </row>
    <row r="385" spans="1:11" s="235" customFormat="1" ht="17.25">
      <c r="A385" s="97"/>
      <c r="B385" s="229" t="s">
        <v>558</v>
      </c>
      <c r="C385" s="99"/>
      <c r="D385" s="298"/>
      <c r="E385" s="298"/>
      <c r="F385" s="304"/>
      <c r="G385" s="304"/>
      <c r="H385" s="98"/>
      <c r="I385" s="304"/>
      <c r="J385" s="1023">
        <v>200000</v>
      </c>
      <c r="K385" s="677"/>
    </row>
    <row r="386" spans="1:11" s="235" customFormat="1" ht="17.25">
      <c r="A386" s="97"/>
      <c r="B386" s="229" t="s">
        <v>510</v>
      </c>
      <c r="C386" s="99"/>
      <c r="D386" s="298"/>
      <c r="E386" s="298"/>
      <c r="F386" s="304"/>
      <c r="G386" s="304"/>
      <c r="H386" s="98"/>
      <c r="I386" s="304"/>
      <c r="J386" s="1023">
        <v>650000</v>
      </c>
      <c r="K386" s="677"/>
    </row>
    <row r="387" spans="1:11" s="235" customFormat="1" ht="17.25">
      <c r="A387" s="97"/>
      <c r="B387" s="229" t="s">
        <v>512</v>
      </c>
      <c r="C387" s="99"/>
      <c r="D387" s="298"/>
      <c r="E387" s="298"/>
      <c r="F387" s="304"/>
      <c r="G387" s="304"/>
      <c r="H387" s="98"/>
      <c r="I387" s="304"/>
      <c r="J387" s="1023">
        <v>100000</v>
      </c>
      <c r="K387" s="677"/>
    </row>
    <row r="388" spans="1:11" s="235" customFormat="1" ht="17.25">
      <c r="A388" s="97"/>
      <c r="B388" s="229" t="s">
        <v>523</v>
      </c>
      <c r="C388" s="99"/>
      <c r="D388" s="298"/>
      <c r="E388" s="298"/>
      <c r="F388" s="304"/>
      <c r="G388" s="304"/>
      <c r="H388" s="98"/>
      <c r="I388" s="304"/>
      <c r="J388" s="1023">
        <v>150000</v>
      </c>
      <c r="K388" s="677"/>
    </row>
    <row r="389" spans="1:11" s="235" customFormat="1" ht="17.25">
      <c r="A389" s="97"/>
      <c r="B389" s="229" t="s">
        <v>513</v>
      </c>
      <c r="C389" s="99"/>
      <c r="D389" s="298"/>
      <c r="E389" s="298"/>
      <c r="F389" s="304"/>
      <c r="G389" s="304"/>
      <c r="H389" s="98"/>
      <c r="I389" s="304"/>
      <c r="J389" s="1023">
        <v>50000</v>
      </c>
      <c r="K389" s="677"/>
    </row>
    <row r="390" spans="1:11" s="236" customFormat="1" ht="18.75" customHeight="1">
      <c r="A390" s="101" t="s">
        <v>240</v>
      </c>
      <c r="B390" s="329"/>
      <c r="C390" s="289"/>
      <c r="D390" s="391"/>
      <c r="E390" s="391"/>
      <c r="F390" s="365">
        <f>SUM(F391:F392)</f>
        <v>0</v>
      </c>
      <c r="G390" s="365">
        <f>SUM(G391:G392)</f>
        <v>0</v>
      </c>
      <c r="H390" s="365">
        <f>SUM(H391:H392)</f>
        <v>550000</v>
      </c>
      <c r="I390" s="365">
        <f>SUM(I391:I392)</f>
        <v>550000</v>
      </c>
      <c r="J390" s="365">
        <f>SUM(J391:J392)</f>
        <v>300000</v>
      </c>
      <c r="K390" s="678"/>
    </row>
    <row r="391" spans="1:11" s="235" customFormat="1" ht="18.75" customHeight="1">
      <c r="A391" s="97"/>
      <c r="B391" s="267" t="s">
        <v>241</v>
      </c>
      <c r="C391" s="328"/>
      <c r="D391" s="298"/>
      <c r="E391" s="298"/>
      <c r="F391" s="304"/>
      <c r="G391" s="304"/>
      <c r="H391" s="304">
        <v>300000</v>
      </c>
      <c r="I391" s="304">
        <v>300000</v>
      </c>
      <c r="J391" s="304">
        <v>300000</v>
      </c>
      <c r="K391" s="677"/>
    </row>
    <row r="392" spans="1:11" s="235" customFormat="1" ht="18.75" customHeight="1">
      <c r="A392" s="97"/>
      <c r="B392" s="267" t="s">
        <v>242</v>
      </c>
      <c r="C392" s="328"/>
      <c r="D392" s="298"/>
      <c r="E392" s="298"/>
      <c r="F392" s="306"/>
      <c r="G392" s="306"/>
      <c r="H392" s="306">
        <v>250000</v>
      </c>
      <c r="I392" s="306">
        <v>250000</v>
      </c>
      <c r="J392" s="306"/>
      <c r="K392" s="677"/>
    </row>
    <row r="393" spans="1:11" s="235" customFormat="1" ht="18.75" customHeight="1">
      <c r="A393" s="322" t="s">
        <v>709</v>
      </c>
      <c r="B393" s="100"/>
      <c r="C393" s="100"/>
      <c r="D393" s="292"/>
      <c r="E393" s="292"/>
      <c r="F393" s="102">
        <f>F395+F397+F399+F404+F407+F410+F411+F414+F415+F417+F418+F419+F420+F422+F423+F424+F425+F426+F436+F437+F456</f>
        <v>49900616.73</v>
      </c>
      <c r="G393" s="102">
        <f>G400+G401+G404+G408+G427+G428+G429+G430+G432</f>
        <v>20048240.2</v>
      </c>
      <c r="H393" s="102">
        <f>H395+H400+H401+H402+H404+H407+H408+H427+H428+H429+H430+H432+H438+H439</f>
        <v>26968922.2</v>
      </c>
      <c r="I393" s="102">
        <f>I395+I400+I401+I402+I404+I407+I408+I427+I428+I429+I430+I432+I438+I439</f>
        <v>47017162.4</v>
      </c>
      <c r="J393" s="96">
        <f>J408+J433+J434+J435+J440+J441+J442+J443+J445+J446+J447+J448+J449</f>
        <v>50287526.2</v>
      </c>
      <c r="K393" s="677"/>
    </row>
    <row r="394" spans="1:11" s="235" customFormat="1" ht="18.75" customHeight="1">
      <c r="A394" s="684" t="s">
        <v>139</v>
      </c>
      <c r="B394" s="100"/>
      <c r="C394" s="100"/>
      <c r="D394" s="298"/>
      <c r="E394" s="298"/>
      <c r="F394" s="310"/>
      <c r="G394" s="310"/>
      <c r="H394" s="98"/>
      <c r="I394" s="310"/>
      <c r="J394" s="945"/>
      <c r="K394" s="677"/>
    </row>
    <row r="395" spans="1:11" s="235" customFormat="1" ht="18.75" customHeight="1">
      <c r="A395" s="97"/>
      <c r="B395" s="319" t="s">
        <v>300</v>
      </c>
      <c r="C395" s="330"/>
      <c r="D395" s="298"/>
      <c r="E395" s="298"/>
      <c r="F395" s="304">
        <v>995325</v>
      </c>
      <c r="G395" s="304"/>
      <c r="H395" s="98">
        <v>1000000</v>
      </c>
      <c r="I395" s="304">
        <v>1000000</v>
      </c>
      <c r="J395" s="951"/>
      <c r="K395" s="677"/>
    </row>
    <row r="396" spans="1:11" s="235" customFormat="1" ht="18.75" customHeight="1">
      <c r="A396" s="97"/>
      <c r="B396" s="321" t="s">
        <v>630</v>
      </c>
      <c r="C396" s="330"/>
      <c r="D396" s="298"/>
      <c r="E396" s="298"/>
      <c r="F396" s="304"/>
      <c r="G396" s="304"/>
      <c r="H396" s="98">
        <v>0</v>
      </c>
      <c r="I396" s="304"/>
      <c r="J396" s="951"/>
      <c r="K396" s="677"/>
    </row>
    <row r="397" spans="1:11" s="235" customFormat="1" ht="18.75" customHeight="1">
      <c r="A397" s="97"/>
      <c r="B397" s="319"/>
      <c r="C397" s="1018" t="s">
        <v>375</v>
      </c>
      <c r="D397" s="298"/>
      <c r="E397" s="298"/>
      <c r="F397" s="304">
        <v>200000</v>
      </c>
      <c r="G397" s="304"/>
      <c r="H397" s="98">
        <v>0</v>
      </c>
      <c r="I397" s="304"/>
      <c r="J397" s="951"/>
      <c r="K397" s="677"/>
    </row>
    <row r="398" spans="1:11" s="235" customFormat="1" ht="18.75" customHeight="1">
      <c r="A398" s="97"/>
      <c r="B398" s="319"/>
      <c r="C398" s="366" t="s">
        <v>430</v>
      </c>
      <c r="D398" s="298"/>
      <c r="E398" s="298"/>
      <c r="F398" s="304"/>
      <c r="G398" s="304"/>
      <c r="H398" s="98">
        <v>0</v>
      </c>
      <c r="I398" s="304"/>
      <c r="J398" s="951"/>
      <c r="K398" s="677"/>
    </row>
    <row r="399" spans="1:11" s="235" customFormat="1" ht="18.75" customHeight="1">
      <c r="A399" s="97"/>
      <c r="B399" s="319" t="s">
        <v>416</v>
      </c>
      <c r="C399" s="366"/>
      <c r="D399" s="298"/>
      <c r="E399" s="298"/>
      <c r="F399" s="304">
        <v>3000000</v>
      </c>
      <c r="G399" s="304"/>
      <c r="H399" s="98">
        <v>0</v>
      </c>
      <c r="I399" s="304"/>
      <c r="J399" s="951"/>
      <c r="K399" s="677"/>
    </row>
    <row r="400" spans="1:11" s="235" customFormat="1" ht="18.75" customHeight="1">
      <c r="A400" s="97"/>
      <c r="B400" s="1010" t="s">
        <v>631</v>
      </c>
      <c r="C400" s="366"/>
      <c r="D400" s="298"/>
      <c r="E400" s="298"/>
      <c r="F400" s="304"/>
      <c r="G400" s="304">
        <v>1498084.53</v>
      </c>
      <c r="H400" s="98">
        <v>1915.469999999972</v>
      </c>
      <c r="I400" s="304">
        <v>1500000</v>
      </c>
      <c r="J400" s="951"/>
      <c r="K400" s="677"/>
    </row>
    <row r="401" spans="1:11" s="235" customFormat="1" ht="18.75" customHeight="1">
      <c r="A401" s="97"/>
      <c r="B401" s="11" t="s">
        <v>632</v>
      </c>
      <c r="C401" s="330"/>
      <c r="D401" s="298"/>
      <c r="E401" s="298"/>
      <c r="F401" s="304"/>
      <c r="G401" s="304">
        <v>349158.87</v>
      </c>
      <c r="H401" s="98">
        <v>513.1300000000047</v>
      </c>
      <c r="I401" s="304">
        <v>349672</v>
      </c>
      <c r="J401" s="951"/>
      <c r="K401" s="677"/>
    </row>
    <row r="402" spans="1:11" s="235" customFormat="1" ht="18.75" customHeight="1">
      <c r="A402" s="97"/>
      <c r="B402" s="319" t="s">
        <v>633</v>
      </c>
      <c r="C402" s="366"/>
      <c r="D402" s="298"/>
      <c r="E402" s="298"/>
      <c r="F402" s="304"/>
      <c r="G402" s="304"/>
      <c r="H402" s="98">
        <v>2000000</v>
      </c>
      <c r="I402" s="304">
        <v>2000000</v>
      </c>
      <c r="J402" s="951"/>
      <c r="K402" s="677"/>
    </row>
    <row r="403" spans="1:11" s="235" customFormat="1" ht="18.75" customHeight="1">
      <c r="A403" s="322" t="s">
        <v>140</v>
      </c>
      <c r="B403" s="319"/>
      <c r="C403" s="330"/>
      <c r="D403" s="298"/>
      <c r="E403" s="298"/>
      <c r="F403" s="304"/>
      <c r="G403" s="304"/>
      <c r="H403" s="98"/>
      <c r="I403" s="304"/>
      <c r="J403" s="951"/>
      <c r="K403" s="677"/>
    </row>
    <row r="404" spans="1:11" s="235" customFormat="1" ht="18.75" customHeight="1">
      <c r="A404" s="97"/>
      <c r="B404" s="319" t="s">
        <v>141</v>
      </c>
      <c r="C404" s="330"/>
      <c r="D404" s="298"/>
      <c r="E404" s="298"/>
      <c r="F404" s="304">
        <v>3300000</v>
      </c>
      <c r="G404" s="304">
        <v>300000</v>
      </c>
      <c r="H404" s="98">
        <v>10100000</v>
      </c>
      <c r="I404" s="304">
        <v>10400000</v>
      </c>
      <c r="J404" s="951"/>
      <c r="K404" s="677"/>
    </row>
    <row r="405" spans="1:11" s="235" customFormat="1" ht="18.75" customHeight="1">
      <c r="A405" s="97"/>
      <c r="B405" s="319" t="s">
        <v>142</v>
      </c>
      <c r="C405" s="330"/>
      <c r="D405" s="298"/>
      <c r="E405" s="298"/>
      <c r="F405" s="304"/>
      <c r="G405" s="304"/>
      <c r="H405" s="98"/>
      <c r="I405" s="304"/>
      <c r="J405" s="951"/>
      <c r="K405" s="677"/>
    </row>
    <row r="406" spans="1:11" s="235" customFormat="1" ht="18.75" customHeight="1">
      <c r="A406" s="97"/>
      <c r="B406" s="319" t="s">
        <v>143</v>
      </c>
      <c r="C406" s="330"/>
      <c r="D406" s="298"/>
      <c r="E406" s="298"/>
      <c r="F406" s="304"/>
      <c r="G406" s="304"/>
      <c r="H406" s="98"/>
      <c r="I406" s="304"/>
      <c r="J406" s="951"/>
      <c r="K406" s="677"/>
    </row>
    <row r="407" spans="1:11" s="235" customFormat="1" ht="18.75" customHeight="1">
      <c r="A407" s="97"/>
      <c r="B407" s="319"/>
      <c r="C407" s="366" t="s">
        <v>243</v>
      </c>
      <c r="D407" s="298"/>
      <c r="E407" s="298"/>
      <c r="F407" s="304">
        <v>1232570.13</v>
      </c>
      <c r="G407" s="304"/>
      <c r="H407" s="98">
        <v>1250000</v>
      </c>
      <c r="I407" s="304">
        <v>1250000</v>
      </c>
      <c r="J407" s="951"/>
      <c r="K407" s="677"/>
    </row>
    <row r="408" spans="1:11" s="235" customFormat="1" ht="18.75" customHeight="1">
      <c r="A408" s="97"/>
      <c r="B408" s="319" t="s">
        <v>424</v>
      </c>
      <c r="C408" s="366"/>
      <c r="D408" s="298"/>
      <c r="E408" s="298"/>
      <c r="F408" s="304"/>
      <c r="G408" s="304">
        <v>6435846.56</v>
      </c>
      <c r="H408" s="98">
        <v>9403643.84</v>
      </c>
      <c r="I408" s="304">
        <v>15839490.4</v>
      </c>
      <c r="J408" s="1023">
        <v>16797540.43</v>
      </c>
      <c r="K408" s="677"/>
    </row>
    <row r="409" spans="1:11" s="235" customFormat="1" ht="18.75" customHeight="1">
      <c r="A409" s="97"/>
      <c r="B409" s="319" t="s">
        <v>301</v>
      </c>
      <c r="C409" s="366"/>
      <c r="D409" s="298"/>
      <c r="E409" s="298"/>
      <c r="F409" s="304"/>
      <c r="G409" s="304"/>
      <c r="H409" s="98">
        <v>0</v>
      </c>
      <c r="I409" s="304"/>
      <c r="J409" s="951"/>
      <c r="K409" s="677"/>
    </row>
    <row r="410" spans="1:11" s="235" customFormat="1" ht="18.75" customHeight="1">
      <c r="A410" s="97"/>
      <c r="B410" s="319"/>
      <c r="C410" s="366" t="s">
        <v>282</v>
      </c>
      <c r="D410" s="298"/>
      <c r="E410" s="298"/>
      <c r="F410" s="304">
        <v>7372296.69</v>
      </c>
      <c r="G410" s="304"/>
      <c r="H410" s="98">
        <v>0</v>
      </c>
      <c r="I410" s="304"/>
      <c r="J410" s="951"/>
      <c r="K410" s="677"/>
    </row>
    <row r="411" spans="1:11" s="235" customFormat="1" ht="18.75" customHeight="1">
      <c r="A411" s="97"/>
      <c r="B411" s="319" t="s">
        <v>634</v>
      </c>
      <c r="C411" s="330"/>
      <c r="D411" s="298"/>
      <c r="E411" s="298"/>
      <c r="F411" s="304">
        <v>8559541.79</v>
      </c>
      <c r="G411" s="331"/>
      <c r="H411" s="98"/>
      <c r="I411" s="332"/>
      <c r="J411" s="951"/>
      <c r="K411" s="677"/>
    </row>
    <row r="412" spans="1:11" s="235" customFormat="1" ht="18.75" customHeight="1">
      <c r="A412" s="697"/>
      <c r="B412" s="366" t="s">
        <v>248</v>
      </c>
      <c r="C412" s="1012"/>
      <c r="D412" s="298"/>
      <c r="E412" s="298"/>
      <c r="F412" s="304"/>
      <c r="G412" s="331"/>
      <c r="H412" s="98">
        <v>0</v>
      </c>
      <c r="I412" s="332"/>
      <c r="J412" s="947"/>
      <c r="K412" s="677"/>
    </row>
    <row r="413" spans="1:11" s="235" customFormat="1" ht="18.75" customHeight="1">
      <c r="A413" s="97"/>
      <c r="B413" s="1006" t="s">
        <v>688</v>
      </c>
      <c r="C413" s="366"/>
      <c r="D413" s="298"/>
      <c r="E413" s="298"/>
      <c r="F413" s="304"/>
      <c r="G413" s="304"/>
      <c r="H413" s="98">
        <v>0</v>
      </c>
      <c r="I413" s="304"/>
      <c r="J413" s="951"/>
      <c r="K413" s="677"/>
    </row>
    <row r="414" spans="1:11" s="235" customFormat="1" ht="18.75" customHeight="1">
      <c r="A414" s="97"/>
      <c r="B414" s="229"/>
      <c r="C414" s="693" t="s">
        <v>567</v>
      </c>
      <c r="D414" s="298"/>
      <c r="E414" s="298"/>
      <c r="F414" s="304">
        <v>3498474.6</v>
      </c>
      <c r="G414" s="331"/>
      <c r="H414" s="98"/>
      <c r="I414" s="332"/>
      <c r="J414" s="947"/>
      <c r="K414" s="677"/>
    </row>
    <row r="415" spans="1:11" s="235" customFormat="1" ht="18.75" customHeight="1">
      <c r="A415" s="97"/>
      <c r="B415" s="229" t="s">
        <v>689</v>
      </c>
      <c r="C415" s="693"/>
      <c r="D415" s="298"/>
      <c r="E415" s="298"/>
      <c r="F415" s="304">
        <v>1497777.74</v>
      </c>
      <c r="G415" s="331"/>
      <c r="H415" s="98">
        <v>0</v>
      </c>
      <c r="I415" s="332"/>
      <c r="J415" s="947"/>
      <c r="K415" s="677"/>
    </row>
    <row r="416" spans="1:11" s="235" customFormat="1" ht="18.75" customHeight="1">
      <c r="A416" s="97"/>
      <c r="B416" s="229" t="s">
        <v>690</v>
      </c>
      <c r="C416" s="366"/>
      <c r="D416" s="298"/>
      <c r="E416" s="298"/>
      <c r="F416" s="304"/>
      <c r="G416" s="304"/>
      <c r="H416" s="98">
        <v>0</v>
      </c>
      <c r="I416" s="304"/>
      <c r="J416" s="951"/>
      <c r="K416" s="677"/>
    </row>
    <row r="417" spans="1:11" s="235" customFormat="1" ht="18.75" customHeight="1">
      <c r="A417" s="97"/>
      <c r="B417" s="366" t="s">
        <v>691</v>
      </c>
      <c r="C417" s="366"/>
      <c r="D417" s="298"/>
      <c r="E417" s="298"/>
      <c r="F417" s="304">
        <v>1498292.97</v>
      </c>
      <c r="G417" s="304"/>
      <c r="H417" s="98"/>
      <c r="I417" s="304"/>
      <c r="J417" s="951"/>
      <c r="K417" s="677"/>
    </row>
    <row r="418" spans="1:11" s="235" customFormat="1" ht="18.75" customHeight="1">
      <c r="A418" s="97"/>
      <c r="B418" s="1005" t="s">
        <v>707</v>
      </c>
      <c r="C418" s="366"/>
      <c r="D418" s="298"/>
      <c r="E418" s="298"/>
      <c r="F418" s="304">
        <v>1498888.58</v>
      </c>
      <c r="G418" s="304"/>
      <c r="H418" s="98">
        <v>0</v>
      </c>
      <c r="I418" s="304"/>
      <c r="J418" s="951"/>
      <c r="K418" s="677"/>
    </row>
    <row r="419" spans="1:11" s="235" customFormat="1" ht="18.75" customHeight="1">
      <c r="A419" s="97"/>
      <c r="B419" s="229" t="s">
        <v>706</v>
      </c>
      <c r="C419" s="693"/>
      <c r="D419" s="298"/>
      <c r="E419" s="298"/>
      <c r="F419" s="304">
        <v>6989548.08</v>
      </c>
      <c r="G419" s="304"/>
      <c r="H419" s="98">
        <v>0</v>
      </c>
      <c r="I419" s="304"/>
      <c r="J419" s="951"/>
      <c r="K419" s="677"/>
    </row>
    <row r="420" spans="1:11" s="235" customFormat="1" ht="18.75" customHeight="1">
      <c r="A420" s="97"/>
      <c r="B420" s="1006" t="s">
        <v>692</v>
      </c>
      <c r="C420" s="366"/>
      <c r="D420" s="298"/>
      <c r="E420" s="298"/>
      <c r="F420" s="304">
        <v>2997753.78</v>
      </c>
      <c r="G420" s="304"/>
      <c r="H420" s="98">
        <v>0</v>
      </c>
      <c r="I420" s="304"/>
      <c r="J420" s="951"/>
      <c r="K420" s="677"/>
    </row>
    <row r="421" spans="1:11" s="235" customFormat="1" ht="18.75" customHeight="1">
      <c r="A421" s="97"/>
      <c r="B421" s="1006" t="s">
        <v>693</v>
      </c>
      <c r="C421" s="366"/>
      <c r="D421" s="298"/>
      <c r="E421" s="298"/>
      <c r="F421" s="304"/>
      <c r="G421" s="304"/>
      <c r="H421" s="98">
        <v>0</v>
      </c>
      <c r="I421" s="304"/>
      <c r="J421" s="951"/>
      <c r="K421" s="677"/>
    </row>
    <row r="422" spans="1:11" s="235" customFormat="1" ht="18.75" customHeight="1">
      <c r="A422" s="97"/>
      <c r="B422" s="1006"/>
      <c r="C422" s="366" t="s">
        <v>489</v>
      </c>
      <c r="D422" s="298"/>
      <c r="E422" s="298"/>
      <c r="F422" s="304">
        <v>499352.57</v>
      </c>
      <c r="G422" s="304"/>
      <c r="H422" s="98"/>
      <c r="I422" s="304"/>
      <c r="J422" s="951"/>
      <c r="K422" s="677"/>
    </row>
    <row r="423" spans="1:11" s="235" customFormat="1" ht="18.75" customHeight="1">
      <c r="A423" s="97"/>
      <c r="B423" s="1006" t="s">
        <v>694</v>
      </c>
      <c r="C423" s="366"/>
      <c r="D423" s="298"/>
      <c r="E423" s="298"/>
      <c r="F423" s="304">
        <v>499627.67</v>
      </c>
      <c r="G423" s="304"/>
      <c r="H423" s="98">
        <v>0</v>
      </c>
      <c r="I423" s="304"/>
      <c r="J423" s="951"/>
      <c r="K423" s="677"/>
    </row>
    <row r="424" spans="1:11" s="235" customFormat="1" ht="18.75" customHeight="1">
      <c r="A424" s="97"/>
      <c r="B424" s="1006" t="s">
        <v>695</v>
      </c>
      <c r="C424" s="1013"/>
      <c r="D424" s="298"/>
      <c r="E424" s="298"/>
      <c r="F424" s="304">
        <v>1998546.83</v>
      </c>
      <c r="G424" s="304"/>
      <c r="H424" s="98">
        <v>0</v>
      </c>
      <c r="I424" s="304"/>
      <c r="J424" s="947"/>
      <c r="K424" s="677"/>
    </row>
    <row r="425" spans="1:11" s="235" customFormat="1" ht="18.75" customHeight="1">
      <c r="A425" s="97"/>
      <c r="B425" s="1006" t="s">
        <v>696</v>
      </c>
      <c r="C425" s="1006"/>
      <c r="D425" s="298"/>
      <c r="E425" s="298"/>
      <c r="F425" s="304">
        <v>1415829.8</v>
      </c>
      <c r="G425" s="304"/>
      <c r="H425" s="304">
        <v>0</v>
      </c>
      <c r="I425" s="304"/>
      <c r="J425" s="951"/>
      <c r="K425" s="677"/>
    </row>
    <row r="426" spans="1:11" s="235" customFormat="1" ht="18.75" customHeight="1">
      <c r="A426" s="97"/>
      <c r="B426" s="405" t="s">
        <v>697</v>
      </c>
      <c r="C426" s="405"/>
      <c r="D426" s="298"/>
      <c r="E426" s="298"/>
      <c r="F426" s="304">
        <v>1996650.48</v>
      </c>
      <c r="G426" s="304"/>
      <c r="H426" s="304">
        <v>0</v>
      </c>
      <c r="I426" s="304"/>
      <c r="J426" s="951"/>
      <c r="K426" s="677"/>
    </row>
    <row r="427" spans="1:11" s="235" customFormat="1" ht="18.75" customHeight="1">
      <c r="A427" s="97"/>
      <c r="B427" s="405" t="s">
        <v>698</v>
      </c>
      <c r="C427" s="11"/>
      <c r="D427" s="298"/>
      <c r="E427" s="298"/>
      <c r="F427" s="304"/>
      <c r="G427" s="304">
        <v>3273461.97</v>
      </c>
      <c r="H427" s="304">
        <v>4538.029999999795</v>
      </c>
      <c r="I427" s="304">
        <v>3278000</v>
      </c>
      <c r="J427" s="951"/>
      <c r="K427" s="677"/>
    </row>
    <row r="428" spans="1:11" s="235" customFormat="1" ht="18.75" customHeight="1">
      <c r="A428" s="97"/>
      <c r="B428" s="1006" t="s">
        <v>699</v>
      </c>
      <c r="C428" s="366"/>
      <c r="D428" s="298"/>
      <c r="E428" s="298"/>
      <c r="F428" s="304"/>
      <c r="G428" s="331">
        <v>2497980.71</v>
      </c>
      <c r="H428" s="98">
        <v>2019.2900000000373</v>
      </c>
      <c r="I428" s="332">
        <v>2500000</v>
      </c>
      <c r="J428" s="947"/>
      <c r="K428" s="677"/>
    </row>
    <row r="429" spans="1:11" s="235" customFormat="1" ht="18.75" customHeight="1">
      <c r="A429" s="97"/>
      <c r="B429" s="300" t="s">
        <v>700</v>
      </c>
      <c r="C429" s="229"/>
      <c r="D429" s="40"/>
      <c r="E429" s="298"/>
      <c r="F429" s="304"/>
      <c r="G429" s="304">
        <v>1997958.29</v>
      </c>
      <c r="H429" s="98">
        <v>2041.7099999999627</v>
      </c>
      <c r="I429" s="304">
        <v>2000000</v>
      </c>
      <c r="J429" s="951"/>
      <c r="K429" s="677"/>
    </row>
    <row r="430" spans="1:11" s="235" customFormat="1" ht="18.75" customHeight="1">
      <c r="A430" s="97"/>
      <c r="B430" s="300" t="s">
        <v>701</v>
      </c>
      <c r="C430" s="229"/>
      <c r="D430" s="40"/>
      <c r="E430" s="298"/>
      <c r="F430" s="304"/>
      <c r="G430" s="304">
        <v>1198964.09</v>
      </c>
      <c r="H430" s="98">
        <v>1035.9099999999162</v>
      </c>
      <c r="I430" s="304">
        <v>1200000</v>
      </c>
      <c r="J430" s="951"/>
      <c r="K430" s="677"/>
    </row>
    <row r="431" spans="1:11" s="235" customFormat="1" ht="18.75" customHeight="1">
      <c r="A431" s="97"/>
      <c r="B431" s="300" t="s">
        <v>702</v>
      </c>
      <c r="C431" s="229"/>
      <c r="D431" s="40"/>
      <c r="E431" s="298"/>
      <c r="F431" s="304"/>
      <c r="G431" s="304"/>
      <c r="H431" s="98"/>
      <c r="I431" s="304"/>
      <c r="J431" s="1023"/>
      <c r="K431" s="677"/>
    </row>
    <row r="432" spans="1:11" s="235" customFormat="1" ht="18.75" customHeight="1">
      <c r="A432" s="97"/>
      <c r="B432" s="300"/>
      <c r="C432" s="229" t="s">
        <v>488</v>
      </c>
      <c r="D432" s="40"/>
      <c r="E432" s="298"/>
      <c r="F432" s="304"/>
      <c r="G432" s="304">
        <v>2496785.18</v>
      </c>
      <c r="H432" s="98">
        <v>3214.8199999998324</v>
      </c>
      <c r="I432" s="304">
        <v>2500000</v>
      </c>
      <c r="J432" s="1023"/>
      <c r="K432" s="677"/>
    </row>
    <row r="433" spans="1:11" s="235" customFormat="1" ht="18.75" customHeight="1">
      <c r="A433" s="97"/>
      <c r="B433" s="300" t="s">
        <v>703</v>
      </c>
      <c r="C433" s="229"/>
      <c r="D433" s="40"/>
      <c r="E433" s="298"/>
      <c r="F433" s="304"/>
      <c r="G433" s="304"/>
      <c r="H433" s="98"/>
      <c r="I433" s="304"/>
      <c r="J433" s="1023">
        <v>1000000</v>
      </c>
      <c r="K433" s="677"/>
    </row>
    <row r="434" spans="1:11" s="235" customFormat="1" ht="18.75" customHeight="1">
      <c r="A434" s="97"/>
      <c r="B434" s="300" t="s">
        <v>704</v>
      </c>
      <c r="C434" s="300"/>
      <c r="D434" s="40"/>
      <c r="E434" s="298"/>
      <c r="F434" s="304"/>
      <c r="G434" s="304"/>
      <c r="H434" s="98"/>
      <c r="I434" s="304"/>
      <c r="J434" s="1023">
        <v>1090000</v>
      </c>
      <c r="K434" s="677"/>
    </row>
    <row r="435" spans="1:11" s="235" customFormat="1" ht="18.75" customHeight="1">
      <c r="A435" s="97"/>
      <c r="B435" s="1006" t="s">
        <v>705</v>
      </c>
      <c r="C435" s="229"/>
      <c r="D435" s="40"/>
      <c r="E435" s="298"/>
      <c r="F435" s="304"/>
      <c r="G435" s="304"/>
      <c r="H435" s="98"/>
      <c r="I435" s="304"/>
      <c r="J435" s="1023">
        <v>3000000</v>
      </c>
      <c r="K435" s="677"/>
    </row>
    <row r="436" spans="1:11" s="235" customFormat="1" ht="18.75" customHeight="1">
      <c r="A436" s="97"/>
      <c r="B436" s="12" t="s">
        <v>492</v>
      </c>
      <c r="C436" s="12"/>
      <c r="D436" s="40"/>
      <c r="E436" s="298"/>
      <c r="F436" s="304">
        <v>468977.52</v>
      </c>
      <c r="G436" s="304"/>
      <c r="H436" s="98">
        <v>0</v>
      </c>
      <c r="I436" s="304"/>
      <c r="J436" s="1023"/>
      <c r="K436" s="677"/>
    </row>
    <row r="437" spans="1:11" s="235" customFormat="1" ht="18.75" customHeight="1">
      <c r="A437" s="97"/>
      <c r="B437" s="309" t="s">
        <v>653</v>
      </c>
      <c r="C437" s="12"/>
      <c r="D437" s="40"/>
      <c r="E437" s="298"/>
      <c r="F437" s="304">
        <v>133700</v>
      </c>
      <c r="G437" s="304"/>
      <c r="H437" s="98">
        <v>0</v>
      </c>
      <c r="I437" s="304"/>
      <c r="J437" s="1023"/>
      <c r="K437" s="677"/>
    </row>
    <row r="438" spans="1:11" s="235" customFormat="1" ht="18.75" customHeight="1">
      <c r="A438" s="97"/>
      <c r="B438" s="309" t="s">
        <v>654</v>
      </c>
      <c r="C438" s="12"/>
      <c r="D438" s="40"/>
      <c r="E438" s="298"/>
      <c r="F438" s="304"/>
      <c r="G438" s="304"/>
      <c r="H438" s="98">
        <v>200000</v>
      </c>
      <c r="I438" s="304">
        <v>200000</v>
      </c>
      <c r="J438" s="1023"/>
      <c r="K438" s="677"/>
    </row>
    <row r="439" spans="1:11" s="235" customFormat="1" ht="18.75" customHeight="1">
      <c r="A439" s="97"/>
      <c r="B439" s="309" t="s">
        <v>655</v>
      </c>
      <c r="C439" s="12"/>
      <c r="D439" s="40"/>
      <c r="E439" s="298"/>
      <c r="F439" s="304"/>
      <c r="G439" s="304"/>
      <c r="H439" s="98">
        <v>3000000</v>
      </c>
      <c r="I439" s="304">
        <v>3000000</v>
      </c>
      <c r="J439" s="1023"/>
      <c r="K439" s="677"/>
    </row>
    <row r="440" spans="1:11" s="235" customFormat="1" ht="18.75" customHeight="1">
      <c r="A440" s="97"/>
      <c r="B440" s="309" t="s">
        <v>656</v>
      </c>
      <c r="C440" s="12"/>
      <c r="D440" s="40"/>
      <c r="E440" s="298"/>
      <c r="F440" s="304"/>
      <c r="G440" s="304"/>
      <c r="H440" s="98"/>
      <c r="I440" s="304"/>
      <c r="J440" s="1023">
        <v>7000000</v>
      </c>
      <c r="K440" s="677"/>
    </row>
    <row r="441" spans="1:11" s="235" customFormat="1" ht="18.75" customHeight="1">
      <c r="A441" s="97"/>
      <c r="B441" s="309" t="s">
        <v>657</v>
      </c>
      <c r="C441" s="12"/>
      <c r="D441" s="40"/>
      <c r="E441" s="298"/>
      <c r="F441" s="304"/>
      <c r="G441" s="304"/>
      <c r="H441" s="98"/>
      <c r="I441" s="304"/>
      <c r="J441" s="1023">
        <v>10000000</v>
      </c>
      <c r="K441" s="677"/>
    </row>
    <row r="442" spans="1:11" s="235" customFormat="1" ht="18.75" customHeight="1">
      <c r="A442" s="667"/>
      <c r="B442" s="12" t="s">
        <v>658</v>
      </c>
      <c r="C442" s="12"/>
      <c r="D442" s="40"/>
      <c r="E442" s="298"/>
      <c r="F442" s="304"/>
      <c r="G442" s="304"/>
      <c r="H442" s="98"/>
      <c r="I442" s="304"/>
      <c r="J442" s="1023">
        <v>1600000</v>
      </c>
      <c r="K442" s="677"/>
    </row>
    <row r="443" spans="1:11" s="235" customFormat="1" ht="21" customHeight="1">
      <c r="A443" s="97"/>
      <c r="B443" s="267" t="s">
        <v>659</v>
      </c>
      <c r="C443" s="12"/>
      <c r="D443" s="668"/>
      <c r="E443" s="298"/>
      <c r="F443" s="304"/>
      <c r="G443" s="304"/>
      <c r="H443" s="98"/>
      <c r="I443" s="304"/>
      <c r="J443" s="304">
        <v>6900000</v>
      </c>
      <c r="K443" s="677"/>
    </row>
    <row r="444" spans="1:11" s="235" customFormat="1" ht="15" customHeight="1">
      <c r="A444" s="97"/>
      <c r="B444" s="12" t="s">
        <v>660</v>
      </c>
      <c r="C444" s="12"/>
      <c r="D444" s="668"/>
      <c r="E444" s="298"/>
      <c r="F444" s="304"/>
      <c r="G444" s="304"/>
      <c r="H444" s="98"/>
      <c r="I444" s="304"/>
      <c r="J444" s="304"/>
      <c r="K444" s="677"/>
    </row>
    <row r="445" spans="1:11" s="235" customFormat="1" ht="15" customHeight="1">
      <c r="A445" s="97"/>
      <c r="B445" s="12" t="s">
        <v>514</v>
      </c>
      <c r="C445" s="12"/>
      <c r="D445" s="668"/>
      <c r="E445" s="298"/>
      <c r="F445" s="304"/>
      <c r="G445" s="304"/>
      <c r="H445" s="98"/>
      <c r="I445" s="304"/>
      <c r="J445" s="304">
        <v>2000000</v>
      </c>
      <c r="K445" s="677"/>
    </row>
    <row r="446" spans="1:11" s="235" customFormat="1" ht="15.75" customHeight="1">
      <c r="A446" s="97"/>
      <c r="B446" s="13" t="s">
        <v>710</v>
      </c>
      <c r="C446" s="668"/>
      <c r="D446" s="17"/>
      <c r="E446" s="298"/>
      <c r="F446" s="304"/>
      <c r="G446" s="304"/>
      <c r="H446" s="98"/>
      <c r="I446" s="304"/>
      <c r="J446" s="1023">
        <v>152459.57</v>
      </c>
      <c r="K446" s="677"/>
    </row>
    <row r="447" spans="1:11" s="235" customFormat="1" ht="15.75" customHeight="1">
      <c r="A447" s="97"/>
      <c r="B447" s="13" t="s">
        <v>661</v>
      </c>
      <c r="C447" s="668"/>
      <c r="D447" s="17"/>
      <c r="E447" s="298"/>
      <c r="F447" s="304"/>
      <c r="G447" s="304"/>
      <c r="H447" s="98"/>
      <c r="I447" s="304"/>
      <c r="J447" s="1023">
        <v>200000</v>
      </c>
      <c r="K447" s="677"/>
    </row>
    <row r="448" spans="1:11" s="235" customFormat="1" ht="15.75" customHeight="1">
      <c r="A448" s="97"/>
      <c r="B448" s="13" t="s">
        <v>662</v>
      </c>
      <c r="C448" s="668"/>
      <c r="D448" s="17"/>
      <c r="E448" s="298"/>
      <c r="F448" s="304"/>
      <c r="G448" s="304"/>
      <c r="H448" s="98"/>
      <c r="I448" s="304"/>
      <c r="J448" s="1023">
        <v>347526.2</v>
      </c>
      <c r="K448" s="677"/>
    </row>
    <row r="449" spans="1:11" s="235" customFormat="1" ht="15.75" customHeight="1">
      <c r="A449" s="377"/>
      <c r="B449" s="1015" t="s">
        <v>663</v>
      </c>
      <c r="C449" s="698"/>
      <c r="D449" s="1017"/>
      <c r="E449" s="291"/>
      <c r="F449" s="306"/>
      <c r="G449" s="306"/>
      <c r="H449" s="313"/>
      <c r="I449" s="306"/>
      <c r="J449" s="1026">
        <v>200000</v>
      </c>
      <c r="K449" s="677"/>
    </row>
    <row r="450" spans="1:11" s="235" customFormat="1" ht="18.75" customHeight="1">
      <c r="A450" s="361" t="s">
        <v>2</v>
      </c>
      <c r="B450" s="309"/>
      <c r="C450" s="14"/>
      <c r="D450" s="100"/>
      <c r="E450" s="100"/>
      <c r="F450" s="302"/>
      <c r="G450" s="302"/>
      <c r="H450" s="327"/>
      <c r="I450" s="302"/>
      <c r="J450" s="302"/>
      <c r="K450" s="677"/>
    </row>
    <row r="451" spans="1:11" s="235" customFormat="1" ht="18.75" customHeight="1">
      <c r="A451" s="81" t="s">
        <v>321</v>
      </c>
      <c r="B451" s="309"/>
      <c r="C451" s="14"/>
      <c r="D451" s="100"/>
      <c r="E451" s="100"/>
      <c r="F451" s="302"/>
      <c r="G451" s="302"/>
      <c r="H451" s="327"/>
      <c r="I451" s="302"/>
      <c r="J451" s="302"/>
      <c r="K451" s="677"/>
    </row>
    <row r="452" spans="1:11" s="235" customFormat="1" ht="18.75" customHeight="1">
      <c r="A452" s="100"/>
      <c r="B452" s="309"/>
      <c r="C452" s="14"/>
      <c r="D452" s="100"/>
      <c r="E452" s="100"/>
      <c r="F452" s="302"/>
      <c r="G452" s="302"/>
      <c r="H452" s="327"/>
      <c r="I452" s="302"/>
      <c r="J452" s="302"/>
      <c r="K452" s="677"/>
    </row>
    <row r="453" spans="1:11" s="235" customFormat="1" ht="18.75" customHeight="1">
      <c r="A453" s="100"/>
      <c r="B453" s="309"/>
      <c r="C453" s="14"/>
      <c r="D453" s="100"/>
      <c r="E453" s="100"/>
      <c r="F453" s="302"/>
      <c r="G453" s="302"/>
      <c r="H453" s="327"/>
      <c r="I453" s="302"/>
      <c r="J453" s="302"/>
      <c r="K453" s="677"/>
    </row>
    <row r="454" spans="1:11" s="235" customFormat="1" ht="15.75" customHeight="1">
      <c r="A454" s="1016" t="s">
        <v>144</v>
      </c>
      <c r="B454" s="696"/>
      <c r="C454" s="666"/>
      <c r="D454" s="695"/>
      <c r="E454" s="296"/>
      <c r="F454" s="323"/>
      <c r="G454" s="323"/>
      <c r="H454" s="318"/>
      <c r="I454" s="323"/>
      <c r="J454" s="950"/>
      <c r="K454" s="677"/>
    </row>
    <row r="455" spans="1:11" s="235" customFormat="1" ht="15.75" customHeight="1">
      <c r="A455" s="97"/>
      <c r="B455" s="13" t="s">
        <v>145</v>
      </c>
      <c r="C455" s="668"/>
      <c r="D455" s="17"/>
      <c r="E455" s="298"/>
      <c r="F455" s="304"/>
      <c r="G455" s="304"/>
      <c r="H455" s="98"/>
      <c r="I455" s="304"/>
      <c r="J455" s="951"/>
      <c r="K455" s="677"/>
    </row>
    <row r="456" spans="1:11" s="235" customFormat="1" ht="15.75" customHeight="1">
      <c r="A456" s="97"/>
      <c r="B456" s="1014" t="s">
        <v>664</v>
      </c>
      <c r="C456" s="668"/>
      <c r="D456" s="17"/>
      <c r="E456" s="298"/>
      <c r="F456" s="304">
        <v>247462.5</v>
      </c>
      <c r="G456" s="304"/>
      <c r="H456" s="98"/>
      <c r="I456" s="304"/>
      <c r="J456" s="951"/>
      <c r="K456" s="677"/>
    </row>
    <row r="457" spans="1:11" s="235" customFormat="1" ht="21.75" customHeight="1">
      <c r="A457" s="707" t="s">
        <v>433</v>
      </c>
      <c r="B457" s="694"/>
      <c r="C457" s="100"/>
      <c r="D457" s="298"/>
      <c r="E457" s="298"/>
      <c r="F457" s="96">
        <f>SUM(F458:F490)</f>
        <v>11038887.75</v>
      </c>
      <c r="G457" s="96">
        <f>G458+G467+G468+G470+G471+G472+G476</f>
        <v>9220622.78</v>
      </c>
      <c r="H457" s="96">
        <f>H462+H464+H467+H468+H469+H470+H471+H472+H473+H474+H476+H481+H485</f>
        <v>5777149.550000001</v>
      </c>
      <c r="I457" s="96">
        <f>I458+I462+I464+I467+I468+I469+I470+I471+I472+I473+I474+I476+I481+I485</f>
        <v>14997772.33</v>
      </c>
      <c r="J457" s="952">
        <f>J458+J463+J464+J467+J468+J469+J470+J471+J472+J473+J474+J477+J480+J481+J482+J484+J486+J488+J490</f>
        <v>14179635</v>
      </c>
      <c r="K457" s="677"/>
    </row>
    <row r="458" spans="1:11" s="235" customFormat="1" ht="18" customHeight="1">
      <c r="A458" s="97"/>
      <c r="B458" s="309" t="s">
        <v>147</v>
      </c>
      <c r="C458" s="99"/>
      <c r="D458" s="298"/>
      <c r="E458" s="298"/>
      <c r="F458" s="304">
        <v>3663504.75</v>
      </c>
      <c r="G458" s="304">
        <v>4008087.18</v>
      </c>
      <c r="H458" s="304">
        <v>0</v>
      </c>
      <c r="I458" s="304">
        <v>4008087.18</v>
      </c>
      <c r="J458" s="1023">
        <v>4253890</v>
      </c>
      <c r="K458" s="677"/>
    </row>
    <row r="459" spans="1:11" s="235" customFormat="1" ht="18" customHeight="1">
      <c r="A459" s="97"/>
      <c r="B459" s="309" t="s">
        <v>148</v>
      </c>
      <c r="C459" s="99"/>
      <c r="D459" s="298"/>
      <c r="E459" s="298"/>
      <c r="F459" s="304"/>
      <c r="G459" s="304"/>
      <c r="H459" s="304"/>
      <c r="I459" s="304"/>
      <c r="J459" s="1023"/>
      <c r="K459" s="677"/>
    </row>
    <row r="460" spans="1:11" s="235" customFormat="1" ht="18" customHeight="1">
      <c r="A460" s="97" t="s">
        <v>426</v>
      </c>
      <c r="B460" s="367"/>
      <c r="C460" s="99"/>
      <c r="D460" s="298"/>
      <c r="E460" s="298"/>
      <c r="F460" s="304"/>
      <c r="G460" s="304"/>
      <c r="H460" s="304"/>
      <c r="I460" s="304"/>
      <c r="J460" s="1023"/>
      <c r="K460" s="677"/>
    </row>
    <row r="461" spans="1:11" s="235" customFormat="1" ht="18" customHeight="1">
      <c r="A461" s="97"/>
      <c r="B461" s="309" t="s">
        <v>417</v>
      </c>
      <c r="C461" s="366"/>
      <c r="D461" s="298"/>
      <c r="E461" s="298"/>
      <c r="F461" s="304">
        <v>1439154.71</v>
      </c>
      <c r="G461" s="304"/>
      <c r="H461" s="304"/>
      <c r="I461" s="304"/>
      <c r="J461" s="1023"/>
      <c r="K461" s="677"/>
    </row>
    <row r="462" spans="1:11" s="235" customFormat="1" ht="18" customHeight="1">
      <c r="A462" s="97"/>
      <c r="B462" s="309" t="s">
        <v>418</v>
      </c>
      <c r="C462" s="366"/>
      <c r="D462" s="298"/>
      <c r="E462" s="298"/>
      <c r="F462" s="304">
        <v>222000</v>
      </c>
      <c r="G462" s="304"/>
      <c r="H462" s="304">
        <v>157000</v>
      </c>
      <c r="I462" s="304">
        <v>157000</v>
      </c>
      <c r="J462" s="1023"/>
      <c r="K462" s="677"/>
    </row>
    <row r="463" spans="1:11" s="235" customFormat="1" ht="18" customHeight="1">
      <c r="A463" s="97"/>
      <c r="B463" s="309" t="s">
        <v>515</v>
      </c>
      <c r="C463" s="366"/>
      <c r="D463" s="298"/>
      <c r="E463" s="298"/>
      <c r="F463" s="304">
        <v>197000</v>
      </c>
      <c r="G463" s="304"/>
      <c r="H463" s="304">
        <v>0</v>
      </c>
      <c r="I463" s="304"/>
      <c r="J463" s="1023">
        <v>100000</v>
      </c>
      <c r="K463" s="677"/>
    </row>
    <row r="464" spans="1:11" s="235" customFormat="1" ht="18" customHeight="1">
      <c r="A464" s="97"/>
      <c r="B464" s="309" t="s">
        <v>419</v>
      </c>
      <c r="C464" s="366"/>
      <c r="D464" s="298"/>
      <c r="E464" s="298"/>
      <c r="F464" s="304">
        <v>0</v>
      </c>
      <c r="G464" s="304"/>
      <c r="H464" s="304">
        <v>1800000</v>
      </c>
      <c r="I464" s="304">
        <v>1800000</v>
      </c>
      <c r="J464" s="1023">
        <v>1700000</v>
      </c>
      <c r="K464" s="677"/>
    </row>
    <row r="465" spans="1:11" s="235" customFormat="1" ht="18" customHeight="1">
      <c r="A465" s="97"/>
      <c r="B465" s="309" t="s">
        <v>665</v>
      </c>
      <c r="C465" s="366"/>
      <c r="D465" s="298"/>
      <c r="E465" s="298"/>
      <c r="F465" s="304">
        <v>250000</v>
      </c>
      <c r="G465" s="304"/>
      <c r="H465" s="304">
        <v>0</v>
      </c>
      <c r="I465" s="304"/>
      <c r="J465" s="1023"/>
      <c r="K465" s="677"/>
    </row>
    <row r="466" spans="1:11" s="235" customFormat="1" ht="18" customHeight="1">
      <c r="A466" s="97"/>
      <c r="B466" s="309" t="s">
        <v>666</v>
      </c>
      <c r="C466" s="366"/>
      <c r="D466" s="298"/>
      <c r="E466" s="298"/>
      <c r="F466" s="304">
        <v>597837.18</v>
      </c>
      <c r="G466" s="304"/>
      <c r="H466" s="304"/>
      <c r="I466" s="304"/>
      <c r="J466" s="1023"/>
      <c r="K466" s="677"/>
    </row>
    <row r="467" spans="1:11" s="235" customFormat="1" ht="18" customHeight="1">
      <c r="A467" s="97"/>
      <c r="B467" s="309" t="s">
        <v>667</v>
      </c>
      <c r="C467" s="366"/>
      <c r="D467" s="298"/>
      <c r="E467" s="298"/>
      <c r="F467" s="304">
        <v>600000</v>
      </c>
      <c r="G467" s="304">
        <v>4564118.02</v>
      </c>
      <c r="H467" s="304">
        <v>329068.98000000045</v>
      </c>
      <c r="I467" s="304">
        <v>4893187</v>
      </c>
      <c r="J467" s="1023">
        <v>1000000</v>
      </c>
      <c r="K467" s="677"/>
    </row>
    <row r="468" spans="1:11" s="235" customFormat="1" ht="18" customHeight="1">
      <c r="A468" s="97"/>
      <c r="B468" s="309" t="s">
        <v>668</v>
      </c>
      <c r="C468" s="326"/>
      <c r="D468" s="298"/>
      <c r="E468" s="298"/>
      <c r="F468" s="304">
        <v>5155.75</v>
      </c>
      <c r="G468" s="304">
        <v>241974</v>
      </c>
      <c r="H468" s="304">
        <v>908042.4199999999</v>
      </c>
      <c r="I468" s="304">
        <v>1150016.42</v>
      </c>
      <c r="J468" s="1023">
        <v>700000</v>
      </c>
      <c r="K468" s="677"/>
    </row>
    <row r="469" spans="1:11" s="235" customFormat="1" ht="18" customHeight="1">
      <c r="A469" s="97"/>
      <c r="B469" s="309" t="s">
        <v>669</v>
      </c>
      <c r="C469" s="326"/>
      <c r="D469" s="298"/>
      <c r="E469" s="298"/>
      <c r="F469" s="304"/>
      <c r="G469" s="304"/>
      <c r="H469" s="304">
        <v>100000</v>
      </c>
      <c r="I469" s="304">
        <v>100000</v>
      </c>
      <c r="J469" s="1023">
        <v>100000</v>
      </c>
      <c r="K469" s="677"/>
    </row>
    <row r="470" spans="1:11" s="235" customFormat="1" ht="18" customHeight="1">
      <c r="A470" s="97"/>
      <c r="B470" s="309" t="s">
        <v>670</v>
      </c>
      <c r="C470" s="366"/>
      <c r="D470" s="298"/>
      <c r="E470" s="298"/>
      <c r="F470" s="304"/>
      <c r="G470" s="304">
        <v>158000</v>
      </c>
      <c r="H470" s="304">
        <v>135000</v>
      </c>
      <c r="I470" s="304">
        <v>293000</v>
      </c>
      <c r="J470" s="1023">
        <v>500000</v>
      </c>
      <c r="K470" s="677"/>
    </row>
    <row r="471" spans="1:11" s="235" customFormat="1" ht="18" customHeight="1">
      <c r="A471" s="97"/>
      <c r="B471" s="309" t="s">
        <v>671</v>
      </c>
      <c r="C471" s="366"/>
      <c r="D471" s="298"/>
      <c r="E471" s="298"/>
      <c r="F471" s="304"/>
      <c r="G471" s="304">
        <v>22768.58</v>
      </c>
      <c r="H471" s="304">
        <v>127231.42</v>
      </c>
      <c r="I471" s="304">
        <v>150000</v>
      </c>
      <c r="J471" s="1023">
        <v>100000</v>
      </c>
      <c r="K471" s="677"/>
    </row>
    <row r="472" spans="1:11" s="235" customFormat="1" ht="18" customHeight="1">
      <c r="A472" s="97"/>
      <c r="B472" s="309" t="s">
        <v>672</v>
      </c>
      <c r="C472" s="366"/>
      <c r="D472" s="298"/>
      <c r="E472" s="298"/>
      <c r="F472" s="304"/>
      <c r="G472" s="304">
        <v>172325</v>
      </c>
      <c r="H472" s="304">
        <v>127675</v>
      </c>
      <c r="I472" s="304">
        <v>300000</v>
      </c>
      <c r="J472" s="1023">
        <v>400000</v>
      </c>
      <c r="K472" s="677"/>
    </row>
    <row r="473" spans="1:11" s="235" customFormat="1" ht="18" customHeight="1">
      <c r="A473" s="97"/>
      <c r="B473" s="309" t="s">
        <v>673</v>
      </c>
      <c r="C473" s="366"/>
      <c r="D473" s="298"/>
      <c r="E473" s="298"/>
      <c r="F473" s="304"/>
      <c r="G473" s="304"/>
      <c r="H473" s="304">
        <v>50000</v>
      </c>
      <c r="I473" s="304">
        <v>50000</v>
      </c>
      <c r="J473" s="1023">
        <v>100000</v>
      </c>
      <c r="K473" s="677"/>
    </row>
    <row r="474" spans="1:11" s="235" customFormat="1" ht="18" customHeight="1">
      <c r="A474" s="97"/>
      <c r="B474" s="309" t="s">
        <v>674</v>
      </c>
      <c r="C474" s="366"/>
      <c r="D474" s="298"/>
      <c r="E474" s="298"/>
      <c r="F474" s="304"/>
      <c r="G474" s="304"/>
      <c r="H474" s="304">
        <v>50000</v>
      </c>
      <c r="I474" s="304">
        <v>50000</v>
      </c>
      <c r="J474" s="1023">
        <v>100000</v>
      </c>
      <c r="K474" s="677"/>
    </row>
    <row r="475" spans="1:11" s="235" customFormat="1" ht="18" customHeight="1">
      <c r="A475" s="97"/>
      <c r="B475" s="309" t="s">
        <v>675</v>
      </c>
      <c r="C475" s="366"/>
      <c r="D475" s="298"/>
      <c r="E475" s="298"/>
      <c r="F475" s="304"/>
      <c r="G475" s="304"/>
      <c r="H475" s="304"/>
      <c r="I475" s="304"/>
      <c r="J475" s="1023"/>
      <c r="K475" s="677"/>
    </row>
    <row r="476" spans="1:11" s="235" customFormat="1" ht="18" customHeight="1">
      <c r="A476" s="97"/>
      <c r="B476" s="309" t="s">
        <v>622</v>
      </c>
      <c r="C476" s="366"/>
      <c r="D476" s="298"/>
      <c r="E476" s="298"/>
      <c r="F476" s="304"/>
      <c r="G476" s="304">
        <v>53350</v>
      </c>
      <c r="H476" s="304">
        <v>1584131.73</v>
      </c>
      <c r="I476" s="304">
        <v>1637481.73</v>
      </c>
      <c r="J476" s="1023"/>
      <c r="K476" s="677"/>
    </row>
    <row r="477" spans="1:11" s="235" customFormat="1" ht="18" customHeight="1">
      <c r="A477" s="97"/>
      <c r="B477" s="309" t="s">
        <v>676</v>
      </c>
      <c r="C477" s="366"/>
      <c r="D477" s="298"/>
      <c r="E477" s="298"/>
      <c r="F477" s="304"/>
      <c r="G477" s="304"/>
      <c r="H477" s="304"/>
      <c r="I477" s="304"/>
      <c r="J477" s="1023">
        <v>400000</v>
      </c>
      <c r="K477" s="677"/>
    </row>
    <row r="478" spans="1:11" s="235" customFormat="1" ht="18" customHeight="1">
      <c r="A478" s="97" t="s">
        <v>427</v>
      </c>
      <c r="B478" s="361"/>
      <c r="C478" s="366"/>
      <c r="D478" s="298"/>
      <c r="E478" s="298"/>
      <c r="F478" s="304"/>
      <c r="G478" s="304"/>
      <c r="H478" s="304"/>
      <c r="I478" s="304"/>
      <c r="J478" s="1023"/>
      <c r="K478" s="677"/>
    </row>
    <row r="479" spans="1:11" s="235" customFormat="1" ht="18" customHeight="1">
      <c r="A479" s="97"/>
      <c r="B479" s="309" t="s">
        <v>420</v>
      </c>
      <c r="C479" s="366"/>
      <c r="D479" s="298"/>
      <c r="E479" s="298"/>
      <c r="F479" s="304">
        <v>3000000</v>
      </c>
      <c r="G479" s="304"/>
      <c r="H479" s="304">
        <v>0</v>
      </c>
      <c r="I479" s="304"/>
      <c r="J479" s="1023"/>
      <c r="K479" s="677"/>
    </row>
    <row r="480" spans="1:11" s="235" customFormat="1" ht="18" customHeight="1">
      <c r="A480" s="97"/>
      <c r="B480" s="309" t="s">
        <v>506</v>
      </c>
      <c r="C480" s="326"/>
      <c r="D480" s="298"/>
      <c r="E480" s="298"/>
      <c r="F480" s="304"/>
      <c r="G480" s="304"/>
      <c r="H480" s="304"/>
      <c r="I480" s="304"/>
      <c r="J480" s="1023">
        <v>1500000</v>
      </c>
      <c r="K480" s="677"/>
    </row>
    <row r="481" spans="1:11" s="235" customFormat="1" ht="18" customHeight="1">
      <c r="A481" s="97"/>
      <c r="B481" s="309" t="s">
        <v>421</v>
      </c>
      <c r="C481" s="326"/>
      <c r="D481" s="298"/>
      <c r="E481" s="298"/>
      <c r="F481" s="304">
        <v>350000</v>
      </c>
      <c r="G481" s="304"/>
      <c r="H481" s="304">
        <v>310000</v>
      </c>
      <c r="I481" s="304">
        <v>310000</v>
      </c>
      <c r="J481" s="1023">
        <v>375745</v>
      </c>
      <c r="K481" s="677"/>
    </row>
    <row r="482" spans="1:11" s="235" customFormat="1" ht="18" customHeight="1">
      <c r="A482" s="97"/>
      <c r="B482" s="309" t="s">
        <v>422</v>
      </c>
      <c r="C482" s="366"/>
      <c r="D482" s="298"/>
      <c r="E482" s="298"/>
      <c r="F482" s="304"/>
      <c r="G482" s="304"/>
      <c r="H482" s="304"/>
      <c r="I482" s="304"/>
      <c r="J482" s="1023">
        <v>50000</v>
      </c>
      <c r="K482" s="677"/>
    </row>
    <row r="483" spans="1:11" s="235" customFormat="1" ht="18" customHeight="1">
      <c r="A483" s="97"/>
      <c r="B483" s="309" t="s">
        <v>429</v>
      </c>
      <c r="C483" s="366"/>
      <c r="D483" s="298"/>
      <c r="E483" s="298"/>
      <c r="F483" s="304">
        <v>32370</v>
      </c>
      <c r="G483" s="304"/>
      <c r="H483" s="304">
        <v>0</v>
      </c>
      <c r="I483" s="304"/>
      <c r="J483" s="1023"/>
      <c r="K483" s="677"/>
    </row>
    <row r="484" spans="1:11" s="235" customFormat="1" ht="18" customHeight="1">
      <c r="A484" s="97"/>
      <c r="B484" s="309" t="s">
        <v>455</v>
      </c>
      <c r="C484" s="326"/>
      <c r="D484" s="298"/>
      <c r="E484" s="298"/>
      <c r="F484" s="304"/>
      <c r="G484" s="304"/>
      <c r="H484" s="304"/>
      <c r="I484" s="304"/>
      <c r="J484" s="1023">
        <v>500000</v>
      </c>
      <c r="K484" s="677"/>
    </row>
    <row r="485" spans="1:11" s="235" customFormat="1" ht="18" customHeight="1">
      <c r="A485" s="97"/>
      <c r="B485" s="309" t="s">
        <v>456</v>
      </c>
      <c r="C485" s="366"/>
      <c r="D485" s="298"/>
      <c r="E485" s="298"/>
      <c r="F485" s="304"/>
      <c r="G485" s="304"/>
      <c r="H485" s="304">
        <v>99000</v>
      </c>
      <c r="I485" s="304">
        <v>99000</v>
      </c>
      <c r="J485" s="1023"/>
      <c r="K485" s="677"/>
    </row>
    <row r="486" spans="1:11" s="235" customFormat="1" ht="18" customHeight="1">
      <c r="A486" s="97"/>
      <c r="B486" s="309" t="s">
        <v>463</v>
      </c>
      <c r="C486" s="326"/>
      <c r="D486" s="298"/>
      <c r="E486" s="298"/>
      <c r="F486" s="304"/>
      <c r="G486" s="304"/>
      <c r="H486" s="304">
        <v>0</v>
      </c>
      <c r="I486" s="304"/>
      <c r="J486" s="1023">
        <v>200000</v>
      </c>
      <c r="K486" s="677"/>
    </row>
    <row r="487" spans="1:11" s="235" customFormat="1" ht="18" customHeight="1">
      <c r="A487" s="97" t="s">
        <v>428</v>
      </c>
      <c r="B487" s="309"/>
      <c r="C487" s="366"/>
      <c r="D487" s="298"/>
      <c r="E487" s="298"/>
      <c r="F487" s="304"/>
      <c r="G487" s="304"/>
      <c r="H487" s="304">
        <v>0</v>
      </c>
      <c r="I487" s="304"/>
      <c r="J487" s="1023"/>
      <c r="K487" s="677"/>
    </row>
    <row r="488" spans="1:11" s="235" customFormat="1" ht="18" customHeight="1">
      <c r="A488" s="97"/>
      <c r="B488" s="1005" t="s">
        <v>507</v>
      </c>
      <c r="C488" s="366"/>
      <c r="D488" s="298"/>
      <c r="E488" s="298"/>
      <c r="F488" s="304">
        <v>600000</v>
      </c>
      <c r="G488" s="304"/>
      <c r="H488" s="304">
        <v>0</v>
      </c>
      <c r="I488" s="304"/>
      <c r="J488" s="1023">
        <v>600000</v>
      </c>
      <c r="K488" s="677"/>
    </row>
    <row r="489" spans="1:11" s="235" customFormat="1" ht="18" customHeight="1">
      <c r="A489" s="97"/>
      <c r="B489" s="1027" t="s">
        <v>423</v>
      </c>
      <c r="C489" s="366"/>
      <c r="D489" s="298"/>
      <c r="E489" s="298"/>
      <c r="F489" s="304">
        <v>81865.36</v>
      </c>
      <c r="G489" s="304"/>
      <c r="H489" s="304">
        <v>0</v>
      </c>
      <c r="I489" s="304"/>
      <c r="J489" s="1023"/>
      <c r="K489" s="677"/>
    </row>
    <row r="490" spans="1:11" s="235" customFormat="1" ht="18" customHeight="1">
      <c r="A490" s="97"/>
      <c r="B490" s="309" t="s">
        <v>483</v>
      </c>
      <c r="C490" s="326"/>
      <c r="D490" s="298"/>
      <c r="E490" s="298"/>
      <c r="F490" s="304"/>
      <c r="G490" s="304"/>
      <c r="H490" s="304">
        <v>0</v>
      </c>
      <c r="I490" s="304"/>
      <c r="J490" s="1023">
        <v>1500000</v>
      </c>
      <c r="K490" s="677"/>
    </row>
    <row r="491" spans="1:11" s="235" customFormat="1" ht="24" customHeight="1" thickBot="1">
      <c r="A491" s="333" t="s">
        <v>682</v>
      </c>
      <c r="B491" s="334"/>
      <c r="C491" s="335"/>
      <c r="D491" s="296"/>
      <c r="E491" s="296"/>
      <c r="F491" s="308">
        <f>F457+F393+F390+F336+F218+F200</f>
        <v>85545195.82000001</v>
      </c>
      <c r="G491" s="308">
        <f>G457+G393+G390+G336+G218+G200</f>
        <v>36282939.83</v>
      </c>
      <c r="H491" s="308">
        <f>H457+H393+H390+H336+H218+H200</f>
        <v>61992993.620000005</v>
      </c>
      <c r="I491" s="308">
        <f>I457+I393+I390+I336+I218+I200</f>
        <v>98275933.45</v>
      </c>
      <c r="J491" s="308">
        <f>J457+J393+J390+J336+J218+J200</f>
        <v>101929161.2</v>
      </c>
      <c r="K491" s="677"/>
    </row>
    <row r="492" spans="1:11" s="235" customFormat="1" ht="30" customHeight="1" thickBot="1">
      <c r="A492" s="336" t="s">
        <v>149</v>
      </c>
      <c r="B492" s="337"/>
      <c r="C492" s="338"/>
      <c r="D492" s="339"/>
      <c r="E492" s="339"/>
      <c r="F492" s="340">
        <f>F491+F128+F196</f>
        <v>239497427.34000003</v>
      </c>
      <c r="G492" s="340">
        <f>G491+G128+G196</f>
        <v>119234509.39000002</v>
      </c>
      <c r="H492" s="340">
        <f>H491+H128+H196</f>
        <v>169147940.53</v>
      </c>
      <c r="I492" s="340">
        <f>I491+I128+I196</f>
        <v>288382449.92</v>
      </c>
      <c r="J492" s="340">
        <f>J491+J128+J196</f>
        <v>283562971.252499</v>
      </c>
      <c r="K492" s="677"/>
    </row>
    <row r="493" spans="1:11" s="235" customFormat="1" ht="23.25" customHeight="1">
      <c r="A493" s="669" t="s">
        <v>150</v>
      </c>
      <c r="B493" s="670"/>
      <c r="C493" s="671"/>
      <c r="D493" s="672"/>
      <c r="E493" s="672"/>
      <c r="F493" s="673">
        <f>F53-F492</f>
        <v>25676.769999980927</v>
      </c>
      <c r="G493" s="673">
        <f>G53-G492</f>
        <v>21027496.03999999</v>
      </c>
      <c r="H493" s="673">
        <f>H53-H492</f>
        <v>-42204133.96000001</v>
      </c>
      <c r="I493" s="673">
        <f>I53-I492</f>
        <v>-21176637.920000017</v>
      </c>
      <c r="J493" s="953">
        <f>J53-J492</f>
        <v>9659.747501015663</v>
      </c>
      <c r="K493" s="677"/>
    </row>
    <row r="494" spans="1:11" s="240" customFormat="1" ht="8.25" customHeight="1">
      <c r="A494" s="24"/>
      <c r="B494" s="25"/>
      <c r="C494" s="25"/>
      <c r="D494" s="25"/>
      <c r="E494" s="25"/>
      <c r="F494" s="25"/>
      <c r="G494" s="25"/>
      <c r="H494" s="25"/>
      <c r="I494" s="25"/>
      <c r="J494" s="27"/>
      <c r="K494" s="679"/>
    </row>
    <row r="495" spans="1:11" s="240" customFormat="1" ht="8.25" customHeight="1">
      <c r="A495" s="24"/>
      <c r="B495" s="25"/>
      <c r="C495" s="25"/>
      <c r="D495" s="25"/>
      <c r="E495" s="25"/>
      <c r="F495" s="25"/>
      <c r="G495" s="25"/>
      <c r="H495" s="25"/>
      <c r="I495" s="25"/>
      <c r="J495" s="27"/>
      <c r="K495" s="679"/>
    </row>
    <row r="496" spans="1:11" s="240" customFormat="1" ht="17.25" customHeight="1">
      <c r="A496" s="24"/>
      <c r="B496" s="25"/>
      <c r="C496" s="25"/>
      <c r="D496" s="25"/>
      <c r="E496" s="25"/>
      <c r="F496" s="683"/>
      <c r="G496" s="683"/>
      <c r="H496" s="683"/>
      <c r="I496" s="683"/>
      <c r="J496" s="63"/>
      <c r="K496" s="679"/>
    </row>
    <row r="497" spans="1:11" s="240" customFormat="1" ht="17.25" customHeight="1">
      <c r="A497" s="24"/>
      <c r="B497" s="25"/>
      <c r="C497" s="25"/>
      <c r="D497" s="25"/>
      <c r="E497" s="25"/>
      <c r="F497" s="683"/>
      <c r="G497" s="683"/>
      <c r="H497" s="683"/>
      <c r="I497" s="683"/>
      <c r="J497" s="63"/>
      <c r="K497" s="679"/>
    </row>
    <row r="498" spans="1:11" s="240" customFormat="1" ht="17.25">
      <c r="A498" s="104" t="s">
        <v>151</v>
      </c>
      <c r="B498" s="105"/>
      <c r="C498" s="105"/>
      <c r="D498" s="106"/>
      <c r="E498" s="106"/>
      <c r="F498" s="106"/>
      <c r="G498" s="106"/>
      <c r="H498" s="106"/>
      <c r="I498" s="106"/>
      <c r="J498" s="954"/>
      <c r="K498" s="679"/>
    </row>
    <row r="499" spans="1:11" s="240" customFormat="1" ht="18.75" customHeight="1">
      <c r="A499" s="104"/>
      <c r="B499" s="105"/>
      <c r="C499" s="105"/>
      <c r="D499" s="106"/>
      <c r="E499" s="106"/>
      <c r="F499" s="106"/>
      <c r="G499" s="106"/>
      <c r="H499" s="106"/>
      <c r="I499" s="106"/>
      <c r="J499" s="954"/>
      <c r="K499" s="679"/>
    </row>
    <row r="500" spans="1:11" s="240" customFormat="1" ht="17.25">
      <c r="A500" s="104"/>
      <c r="B500" s="105"/>
      <c r="C500" s="105"/>
      <c r="D500" s="106"/>
      <c r="E500" s="106"/>
      <c r="F500" s="106"/>
      <c r="G500" s="106"/>
      <c r="H500" s="106"/>
      <c r="I500" s="106"/>
      <c r="J500" s="954"/>
      <c r="K500" s="679"/>
    </row>
    <row r="501" spans="1:11" s="238" customFormat="1" ht="24">
      <c r="A501" s="1040" t="s">
        <v>152</v>
      </c>
      <c r="B501" s="1041"/>
      <c r="C501" s="1041"/>
      <c r="D501" s="1041"/>
      <c r="E501" s="1041"/>
      <c r="F501" s="1041"/>
      <c r="G501" s="1041" t="s">
        <v>166</v>
      </c>
      <c r="H501" s="1041"/>
      <c r="I501" s="1041"/>
      <c r="J501" s="1064"/>
      <c r="K501" s="404"/>
    </row>
    <row r="502" spans="1:11" s="238" customFormat="1" ht="20.25">
      <c r="A502" s="1042" t="s">
        <v>153</v>
      </c>
      <c r="B502" s="1043"/>
      <c r="C502" s="1043"/>
      <c r="D502" s="1043"/>
      <c r="E502" s="1043"/>
      <c r="F502" s="1043"/>
      <c r="G502" s="1043" t="s">
        <v>168</v>
      </c>
      <c r="H502" s="1043"/>
      <c r="I502" s="1043"/>
      <c r="J502" s="1065"/>
      <c r="K502" s="404"/>
    </row>
    <row r="503" spans="1:11" s="238" customFormat="1" ht="17.25">
      <c r="A503" s="703"/>
      <c r="B503" s="702"/>
      <c r="C503" s="702"/>
      <c r="D503" s="702"/>
      <c r="E503" s="702"/>
      <c r="F503" s="710"/>
      <c r="G503" s="702"/>
      <c r="H503" s="75"/>
      <c r="I503" s="75"/>
      <c r="J503" s="60"/>
      <c r="K503" s="404"/>
    </row>
    <row r="504" spans="1:11" s="238" customFormat="1" ht="17.25">
      <c r="A504" s="703"/>
      <c r="B504" s="702"/>
      <c r="C504" s="702"/>
      <c r="D504" s="702"/>
      <c r="E504" s="702"/>
      <c r="F504" s="710"/>
      <c r="G504" s="702"/>
      <c r="H504" s="75"/>
      <c r="I504" s="75"/>
      <c r="J504" s="60"/>
      <c r="K504" s="404"/>
    </row>
    <row r="505" spans="1:11" s="238" customFormat="1" ht="17.25">
      <c r="A505" s="703"/>
      <c r="B505" s="702"/>
      <c r="C505" s="702"/>
      <c r="D505" s="702"/>
      <c r="E505" s="702"/>
      <c r="F505" s="710"/>
      <c r="G505" s="702"/>
      <c r="H505" s="75"/>
      <c r="I505" s="75"/>
      <c r="J505" s="60"/>
      <c r="K505" s="404"/>
    </row>
    <row r="506" spans="1:11" s="238" customFormat="1" ht="17.25">
      <c r="A506" s="703"/>
      <c r="B506" s="702"/>
      <c r="C506" s="702"/>
      <c r="D506" s="702"/>
      <c r="E506" s="702"/>
      <c r="F506" s="710"/>
      <c r="G506" s="702"/>
      <c r="H506" s="75"/>
      <c r="I506" s="75"/>
      <c r="J506" s="60"/>
      <c r="K506" s="404"/>
    </row>
    <row r="507" spans="1:11" s="238" customFormat="1" ht="17.25">
      <c r="A507" s="703"/>
      <c r="B507" s="702"/>
      <c r="C507" s="702"/>
      <c r="D507" s="702"/>
      <c r="E507" s="702"/>
      <c r="F507" s="710"/>
      <c r="G507" s="702"/>
      <c r="H507" s="75"/>
      <c r="I507" s="75"/>
      <c r="J507" s="60"/>
      <c r="K507" s="404"/>
    </row>
    <row r="508" spans="1:11" s="238" customFormat="1" ht="12" customHeight="1">
      <c r="A508" s="703"/>
      <c r="B508" s="702"/>
      <c r="C508" s="702"/>
      <c r="D508" s="702"/>
      <c r="E508" s="702"/>
      <c r="F508" s="710"/>
      <c r="G508" s="702"/>
      <c r="H508" s="75"/>
      <c r="I508" s="75"/>
      <c r="J508" s="60"/>
      <c r="K508" s="404"/>
    </row>
    <row r="509" spans="1:11" s="238" customFormat="1" ht="17.25">
      <c r="A509" s="61"/>
      <c r="B509" s="706"/>
      <c r="C509" s="706"/>
      <c r="D509" s="706"/>
      <c r="E509" s="706"/>
      <c r="F509" s="1032"/>
      <c r="G509" s="1032"/>
      <c r="H509" s="75"/>
      <c r="I509" s="75"/>
      <c r="J509" s="60"/>
      <c r="K509" s="404"/>
    </row>
    <row r="510" spans="1:11" s="238" customFormat="1" ht="24">
      <c r="A510" s="1040" t="s">
        <v>685</v>
      </c>
      <c r="B510" s="1041"/>
      <c r="C510" s="1041"/>
      <c r="D510" s="1041"/>
      <c r="E510" s="1041"/>
      <c r="F510" s="1041"/>
      <c r="G510" s="1041" t="s">
        <v>624</v>
      </c>
      <c r="H510" s="1041"/>
      <c r="I510" s="1041"/>
      <c r="J510" s="1064"/>
      <c r="K510" s="404"/>
    </row>
    <row r="511" spans="1:11" s="238" customFormat="1" ht="15.75" customHeight="1">
      <c r="A511" s="1042" t="s">
        <v>687</v>
      </c>
      <c r="B511" s="1043"/>
      <c r="C511" s="1043"/>
      <c r="D511" s="1043"/>
      <c r="E511" s="1043"/>
      <c r="F511" s="1043"/>
      <c r="G511" s="1043" t="s">
        <v>154</v>
      </c>
      <c r="H511" s="1043"/>
      <c r="I511" s="1043"/>
      <c r="J511" s="1065"/>
      <c r="K511" s="404"/>
    </row>
    <row r="512" spans="1:11" s="238" customFormat="1" ht="14.25" customHeight="1">
      <c r="A512" s="705"/>
      <c r="B512" s="706"/>
      <c r="C512" s="706"/>
      <c r="D512" s="706"/>
      <c r="E512" s="706"/>
      <c r="F512" s="716"/>
      <c r="G512" s="706"/>
      <c r="H512" s="75"/>
      <c r="I512" s="75"/>
      <c r="J512" s="60"/>
      <c r="K512" s="404"/>
    </row>
    <row r="513" spans="1:11" s="238" customFormat="1" ht="14.25" customHeight="1">
      <c r="A513" s="705"/>
      <c r="B513" s="706"/>
      <c r="C513" s="706"/>
      <c r="D513" s="706"/>
      <c r="E513" s="706"/>
      <c r="F513" s="716"/>
      <c r="G513" s="706"/>
      <c r="H513" s="75"/>
      <c r="I513" s="75"/>
      <c r="J513" s="60"/>
      <c r="K513" s="404"/>
    </row>
    <row r="514" spans="1:11" s="238" customFormat="1" ht="14.25" customHeight="1">
      <c r="A514" s="705"/>
      <c r="B514" s="706"/>
      <c r="C514" s="706"/>
      <c r="D514" s="706"/>
      <c r="E514" s="706"/>
      <c r="F514" s="716"/>
      <c r="G514" s="706"/>
      <c r="H514" s="75"/>
      <c r="I514" s="75"/>
      <c r="J514" s="60"/>
      <c r="K514" s="404"/>
    </row>
    <row r="515" spans="1:11" s="238" customFormat="1" ht="14.25" customHeight="1">
      <c r="A515" s="705"/>
      <c r="B515" s="706"/>
      <c r="C515" s="706"/>
      <c r="D515" s="706"/>
      <c r="E515" s="706"/>
      <c r="F515" s="716"/>
      <c r="G515" s="706"/>
      <c r="H515" s="75"/>
      <c r="I515" s="75"/>
      <c r="J515" s="60"/>
      <c r="K515" s="404"/>
    </row>
    <row r="516" spans="1:11" s="238" customFormat="1" ht="14.25" customHeight="1">
      <c r="A516" s="705"/>
      <c r="B516" s="706"/>
      <c r="C516" s="706"/>
      <c r="D516" s="706"/>
      <c r="E516" s="706"/>
      <c r="F516" s="716"/>
      <c r="G516" s="706"/>
      <c r="H516" s="75"/>
      <c r="I516" s="75"/>
      <c r="J516" s="60"/>
      <c r="K516" s="404"/>
    </row>
    <row r="517" spans="1:11" s="238" customFormat="1" ht="20.25">
      <c r="A517" s="107" t="s">
        <v>272</v>
      </c>
      <c r="B517" s="75"/>
      <c r="C517" s="704"/>
      <c r="D517" s="706"/>
      <c r="E517" s="706"/>
      <c r="F517" s="716"/>
      <c r="G517" s="706"/>
      <c r="H517" s="75"/>
      <c r="I517" s="75"/>
      <c r="J517" s="60"/>
      <c r="K517" s="404"/>
    </row>
    <row r="518" spans="1:11" s="238" customFormat="1" ht="20.25">
      <c r="A518" s="107"/>
      <c r="B518" s="75"/>
      <c r="C518" s="704"/>
      <c r="D518" s="706"/>
      <c r="E518" s="706"/>
      <c r="F518" s="716"/>
      <c r="G518" s="706"/>
      <c r="H518" s="75"/>
      <c r="I518" s="75"/>
      <c r="J518" s="60"/>
      <c r="K518" s="404"/>
    </row>
    <row r="519" spans="1:11" s="238" customFormat="1" ht="17.25">
      <c r="A519" s="61"/>
      <c r="B519" s="75"/>
      <c r="C519" s="75"/>
      <c r="D519" s="108"/>
      <c r="E519" s="108"/>
      <c r="F519" s="75"/>
      <c r="G519" s="75"/>
      <c r="H519" s="75"/>
      <c r="I519" s="75"/>
      <c r="J519" s="60"/>
      <c r="K519" s="404"/>
    </row>
    <row r="520" spans="1:11" s="238" customFormat="1" ht="24">
      <c r="A520" s="1069" t="s">
        <v>204</v>
      </c>
      <c r="B520" s="1070"/>
      <c r="C520" s="1070"/>
      <c r="D520" s="1070"/>
      <c r="E520" s="1070"/>
      <c r="F520" s="1070"/>
      <c r="G520" s="1070"/>
      <c r="H520" s="1070"/>
      <c r="I520" s="1070"/>
      <c r="J520" s="1071"/>
      <c r="K520" s="404"/>
    </row>
    <row r="521" spans="1:11" s="238" customFormat="1" ht="20.25">
      <c r="A521" s="1078" t="s">
        <v>155</v>
      </c>
      <c r="B521" s="1079"/>
      <c r="C521" s="1079"/>
      <c r="D521" s="1079"/>
      <c r="E521" s="1079"/>
      <c r="F521" s="1079"/>
      <c r="G521" s="1079"/>
      <c r="H521" s="1079"/>
      <c r="I521" s="1079"/>
      <c r="J521" s="1080"/>
      <c r="K521" s="404"/>
    </row>
    <row r="522" spans="1:11" s="238" customFormat="1" ht="20.25">
      <c r="A522" s="341"/>
      <c r="B522" s="341"/>
      <c r="C522" s="341"/>
      <c r="D522" s="341"/>
      <c r="E522" s="341"/>
      <c r="F522" s="341"/>
      <c r="G522" s="341"/>
      <c r="H522" s="341"/>
      <c r="I522" s="341"/>
      <c r="J522" s="341"/>
      <c r="K522" s="404"/>
    </row>
    <row r="523" spans="1:11" s="241" customFormat="1" ht="12.75">
      <c r="A523" s="90"/>
      <c r="B523" s="90"/>
      <c r="C523" s="90"/>
      <c r="D523" s="109"/>
      <c r="E523" s="109"/>
      <c r="F523" s="109"/>
      <c r="G523" s="110"/>
      <c r="H523" s="110"/>
      <c r="I523" s="110"/>
      <c r="J523" s="110"/>
      <c r="K523" s="680"/>
    </row>
    <row r="524" spans="1:11" s="19" customFormat="1" ht="22.5" customHeight="1">
      <c r="A524" s="111" t="s">
        <v>2</v>
      </c>
      <c r="B524" s="22"/>
      <c r="C524" s="22"/>
      <c r="D524" s="22"/>
      <c r="E524" s="22"/>
      <c r="F524" s="22"/>
      <c r="G524" s="23"/>
      <c r="H524" s="23"/>
      <c r="I524" s="23"/>
      <c r="J524" s="261"/>
      <c r="K524" s="681"/>
    </row>
    <row r="525" spans="1:11" s="19" customFormat="1" ht="22.5">
      <c r="A525" s="1049" t="str">
        <f>A4</f>
        <v>BUDGET OF EXPENDITURES AND SOURCE OF FINANCING</v>
      </c>
      <c r="B525" s="1050"/>
      <c r="C525" s="1050"/>
      <c r="D525" s="1050"/>
      <c r="E525" s="1050"/>
      <c r="F525" s="1050"/>
      <c r="G525" s="1050"/>
      <c r="H525" s="1050"/>
      <c r="I525" s="1050"/>
      <c r="J525" s="1051"/>
      <c r="K525" s="681"/>
    </row>
    <row r="526" spans="1:11" s="19" customFormat="1" ht="20.25">
      <c r="A526" s="1052" t="str">
        <f>A5</f>
        <v>Municipality of Trento</v>
      </c>
      <c r="B526" s="1053"/>
      <c r="C526" s="1053"/>
      <c r="D526" s="1053"/>
      <c r="E526" s="1053"/>
      <c r="F526" s="1053"/>
      <c r="G526" s="1053"/>
      <c r="H526" s="1053"/>
      <c r="I526" s="1053"/>
      <c r="J526" s="1054"/>
      <c r="K526" s="681"/>
    </row>
    <row r="527" spans="1:11" s="19" customFormat="1" ht="20.25">
      <c r="A527" s="1034" t="s">
        <v>156</v>
      </c>
      <c r="B527" s="1030"/>
      <c r="C527" s="1030"/>
      <c r="D527" s="1030"/>
      <c r="E527" s="1030"/>
      <c r="F527" s="1030"/>
      <c r="G527" s="1030"/>
      <c r="H527" s="1030"/>
      <c r="I527" s="1030"/>
      <c r="J527" s="1031"/>
      <c r="K527" s="681"/>
    </row>
    <row r="528" spans="1:11" s="19" customFormat="1" ht="15" customHeight="1">
      <c r="A528" s="112"/>
      <c r="B528" s="113"/>
      <c r="C528" s="113"/>
      <c r="D528" s="113"/>
      <c r="E528" s="113"/>
      <c r="F528" s="113"/>
      <c r="G528" s="113"/>
      <c r="H528" s="113"/>
      <c r="I528" s="113"/>
      <c r="J528" s="955"/>
      <c r="K528" s="681"/>
    </row>
    <row r="529" spans="1:11" s="19" customFormat="1" ht="20.25">
      <c r="A529" s="33"/>
      <c r="B529" s="34"/>
      <c r="C529" s="41"/>
      <c r="D529" s="31"/>
      <c r="E529" s="114"/>
      <c r="F529" s="39"/>
      <c r="G529" s="1035" t="s">
        <v>4</v>
      </c>
      <c r="H529" s="1036"/>
      <c r="I529" s="1036"/>
      <c r="J529" s="666"/>
      <c r="K529" s="681"/>
    </row>
    <row r="530" spans="1:11" s="19" customFormat="1" ht="18.75" customHeight="1">
      <c r="A530" s="33"/>
      <c r="B530" s="34"/>
      <c r="C530" s="34"/>
      <c r="D530" s="115" t="s">
        <v>5</v>
      </c>
      <c r="E530" s="40" t="s">
        <v>6</v>
      </c>
      <c r="F530" s="715" t="s">
        <v>7</v>
      </c>
      <c r="G530" s="254" t="s">
        <v>8</v>
      </c>
      <c r="H530" s="116" t="s">
        <v>9</v>
      </c>
      <c r="I530" s="117"/>
      <c r="J530" s="927" t="s">
        <v>10</v>
      </c>
      <c r="K530" s="681"/>
    </row>
    <row r="531" spans="1:11" s="19" customFormat="1" ht="21" customHeight="1">
      <c r="A531" s="1034" t="s">
        <v>11</v>
      </c>
      <c r="B531" s="1030"/>
      <c r="C531" s="1031"/>
      <c r="D531" s="31" t="s">
        <v>12</v>
      </c>
      <c r="E531" s="39" t="s">
        <v>13</v>
      </c>
      <c r="F531" s="717" t="s">
        <v>14</v>
      </c>
      <c r="G531" s="37" t="s">
        <v>14</v>
      </c>
      <c r="H531" s="254" t="s">
        <v>15</v>
      </c>
      <c r="I531" s="118" t="s">
        <v>1</v>
      </c>
      <c r="J531" s="37"/>
      <c r="K531" s="681"/>
    </row>
    <row r="532" spans="1:11" s="19" customFormat="1" ht="13.5" customHeight="1">
      <c r="A532" s="33"/>
      <c r="B532" s="34"/>
      <c r="C532" s="41"/>
      <c r="D532" s="109"/>
      <c r="E532" s="40"/>
      <c r="F532" s="39">
        <v>2019</v>
      </c>
      <c r="G532" s="39">
        <v>2020</v>
      </c>
      <c r="H532" s="39">
        <v>2020</v>
      </c>
      <c r="I532" s="42">
        <v>2020</v>
      </c>
      <c r="J532" s="40">
        <v>2021</v>
      </c>
      <c r="K532" s="681"/>
    </row>
    <row r="533" spans="1:11" s="19" customFormat="1" ht="27" customHeight="1">
      <c r="A533" s="1037">
        <v>-1</v>
      </c>
      <c r="B533" s="1038"/>
      <c r="C533" s="1039"/>
      <c r="D533" s="119">
        <v>-2</v>
      </c>
      <c r="E533" s="252">
        <v>-3</v>
      </c>
      <c r="F533" s="711">
        <v>-4</v>
      </c>
      <c r="G533" s="43">
        <v>-5</v>
      </c>
      <c r="H533" s="43">
        <v>-6</v>
      </c>
      <c r="I533" s="401">
        <v>-7</v>
      </c>
      <c r="J533" s="43">
        <v>-8</v>
      </c>
      <c r="K533" s="681"/>
    </row>
    <row r="534" spans="1:11" s="19" customFormat="1" ht="20.25">
      <c r="A534" s="44" t="s">
        <v>16</v>
      </c>
      <c r="B534" s="45"/>
      <c r="C534" s="46"/>
      <c r="D534" s="120"/>
      <c r="E534" s="121"/>
      <c r="F534" s="342"/>
      <c r="G534" s="122"/>
      <c r="H534" s="122"/>
      <c r="I534" s="123"/>
      <c r="J534" s="956"/>
      <c r="K534" s="681"/>
    </row>
    <row r="535" spans="1:11" s="19" customFormat="1" ht="17.25" customHeight="1">
      <c r="A535" s="49" t="s">
        <v>18</v>
      </c>
      <c r="B535" s="50"/>
      <c r="C535" s="51"/>
      <c r="D535" s="24"/>
      <c r="E535" s="124"/>
      <c r="F535" s="60"/>
      <c r="G535" s="56"/>
      <c r="H535" s="56"/>
      <c r="I535" s="56"/>
      <c r="J535" s="957"/>
      <c r="K535" s="681"/>
    </row>
    <row r="536" spans="1:11" s="19" customFormat="1" ht="15.75" customHeight="1">
      <c r="A536" s="49" t="s">
        <v>19</v>
      </c>
      <c r="B536" s="50"/>
      <c r="C536" s="50"/>
      <c r="D536" s="24"/>
      <c r="E536" s="124"/>
      <c r="F536" s="60"/>
      <c r="G536" s="56"/>
      <c r="H536" s="56"/>
      <c r="I536" s="56"/>
      <c r="J536" s="957"/>
      <c r="K536" s="681"/>
    </row>
    <row r="537" spans="1:11" s="19" customFormat="1" ht="18" customHeight="1">
      <c r="A537" s="58" t="s">
        <v>20</v>
      </c>
      <c r="B537" s="59"/>
      <c r="C537" s="75"/>
      <c r="D537" s="24"/>
      <c r="E537" s="124"/>
      <c r="F537" s="60"/>
      <c r="G537" s="60"/>
      <c r="H537" s="60"/>
      <c r="I537" s="60"/>
      <c r="J537" s="957"/>
      <c r="K537" s="681"/>
    </row>
    <row r="538" spans="1:11" s="19" customFormat="1" ht="20.25">
      <c r="A538" s="61" t="s">
        <v>25</v>
      </c>
      <c r="B538" s="59"/>
      <c r="C538" s="75"/>
      <c r="D538" s="115"/>
      <c r="E538" s="125"/>
      <c r="F538" s="69"/>
      <c r="G538" s="62"/>
      <c r="H538" s="70"/>
      <c r="I538" s="70"/>
      <c r="J538" s="126"/>
      <c r="K538" s="681"/>
    </row>
    <row r="539" spans="1:11" s="19" customFormat="1" ht="20.25">
      <c r="A539" s="61" t="s">
        <v>26</v>
      </c>
      <c r="B539" s="59"/>
      <c r="C539" s="75"/>
      <c r="D539" s="115"/>
      <c r="E539" s="125"/>
      <c r="F539" s="69"/>
      <c r="G539" s="62"/>
      <c r="H539" s="70"/>
      <c r="I539" s="70"/>
      <c r="J539" s="126"/>
      <c r="K539" s="681"/>
    </row>
    <row r="540" spans="1:11" s="19" customFormat="1" ht="20.25">
      <c r="A540" s="61" t="s">
        <v>30</v>
      </c>
      <c r="B540" s="59"/>
      <c r="C540" s="75"/>
      <c r="D540" s="115"/>
      <c r="E540" s="125"/>
      <c r="F540" s="69">
        <v>9969418.02</v>
      </c>
      <c r="G540" s="77">
        <v>5603685.25</v>
      </c>
      <c r="H540" s="62">
        <f>SUM(I540-G540)</f>
        <v>6106314.75</v>
      </c>
      <c r="I540" s="126">
        <v>11710000</v>
      </c>
      <c r="J540" s="126">
        <v>14200000</v>
      </c>
      <c r="K540" s="681"/>
    </row>
    <row r="541" spans="1:11" s="19" customFormat="1" ht="20.25">
      <c r="A541" s="61" t="s">
        <v>31</v>
      </c>
      <c r="B541" s="59"/>
      <c r="C541" s="81"/>
      <c r="D541" s="115"/>
      <c r="E541" s="125"/>
      <c r="F541" s="77"/>
      <c r="G541" s="62"/>
      <c r="H541" s="62">
        <f>I541-G541</f>
        <v>0</v>
      </c>
      <c r="I541" s="127">
        <v>0</v>
      </c>
      <c r="J541" s="127"/>
      <c r="K541" s="681"/>
    </row>
    <row r="542" spans="1:11" s="19" customFormat="1" ht="20.25" customHeight="1">
      <c r="A542" s="71" t="s">
        <v>32</v>
      </c>
      <c r="B542" s="65"/>
      <c r="C542" s="75"/>
      <c r="D542" s="115"/>
      <c r="E542" s="125"/>
      <c r="F542" s="56">
        <f>F540</f>
        <v>9969418.02</v>
      </c>
      <c r="G542" s="57">
        <f>G540</f>
        <v>5603685.25</v>
      </c>
      <c r="H542" s="128">
        <f>SUM(H540:H541)</f>
        <v>6106314.75</v>
      </c>
      <c r="I542" s="127">
        <f>SUM(I540:I541)</f>
        <v>11710000</v>
      </c>
      <c r="J542" s="127">
        <f>SUM(J540:J541)</f>
        <v>14200000</v>
      </c>
      <c r="K542" s="681"/>
    </row>
    <row r="543" spans="1:11" s="19" customFormat="1" ht="20.25">
      <c r="A543" s="49" t="s">
        <v>33</v>
      </c>
      <c r="B543" s="59"/>
      <c r="C543" s="75"/>
      <c r="D543" s="115"/>
      <c r="E543" s="125"/>
      <c r="F543" s="716"/>
      <c r="G543" s="62"/>
      <c r="H543" s="69"/>
      <c r="I543" s="69"/>
      <c r="J543" s="958"/>
      <c r="K543" s="681"/>
    </row>
    <row r="544" spans="1:11" s="19" customFormat="1" ht="20.25">
      <c r="A544" s="55" t="s">
        <v>157</v>
      </c>
      <c r="B544" s="75"/>
      <c r="C544" s="75"/>
      <c r="D544" s="115"/>
      <c r="E544" s="125"/>
      <c r="F544" s="716"/>
      <c r="G544" s="62"/>
      <c r="H544" s="69"/>
      <c r="I544" s="69"/>
      <c r="J544" s="958"/>
      <c r="K544" s="681"/>
    </row>
    <row r="545" spans="1:11" s="19" customFormat="1" ht="20.25">
      <c r="A545" s="55" t="s">
        <v>40</v>
      </c>
      <c r="B545" s="75"/>
      <c r="C545" s="75"/>
      <c r="D545" s="115"/>
      <c r="E545" s="125"/>
      <c r="F545" s="716"/>
      <c r="G545" s="62"/>
      <c r="H545" s="69"/>
      <c r="I545" s="69"/>
      <c r="J545" s="958"/>
      <c r="K545" s="681"/>
    </row>
    <row r="546" spans="1:11" s="19" customFormat="1" ht="20.25">
      <c r="A546" s="55" t="s">
        <v>41</v>
      </c>
      <c r="B546" s="75"/>
      <c r="C546" s="75"/>
      <c r="D546" s="115"/>
      <c r="E546" s="125"/>
      <c r="F546" s="716"/>
      <c r="G546" s="62"/>
      <c r="H546" s="62"/>
      <c r="I546" s="62"/>
      <c r="J546" s="126"/>
      <c r="K546" s="681"/>
    </row>
    <row r="547" spans="1:11" s="19" customFormat="1" ht="20.25">
      <c r="A547" s="55" t="s">
        <v>158</v>
      </c>
      <c r="B547" s="75"/>
      <c r="C547" s="75"/>
      <c r="D547" s="115"/>
      <c r="E547" s="125"/>
      <c r="F547" s="716"/>
      <c r="G547" s="62"/>
      <c r="H547" s="69"/>
      <c r="I547" s="69"/>
      <c r="J547" s="958"/>
      <c r="K547" s="681"/>
    </row>
    <row r="548" spans="1:11" s="19" customFormat="1" ht="20.25">
      <c r="A548" s="55" t="s">
        <v>43</v>
      </c>
      <c r="B548" s="75"/>
      <c r="C548" s="81"/>
      <c r="D548" s="93"/>
      <c r="E548" s="129"/>
      <c r="F548" s="106"/>
      <c r="G548" s="57"/>
      <c r="H548" s="56"/>
      <c r="I548" s="56"/>
      <c r="J548" s="959"/>
      <c r="K548" s="681"/>
    </row>
    <row r="549" spans="1:11" s="19" customFormat="1" ht="20.25">
      <c r="A549" s="55" t="s">
        <v>44</v>
      </c>
      <c r="B549" s="75"/>
      <c r="C549" s="75"/>
      <c r="D549" s="115"/>
      <c r="E549" s="125"/>
      <c r="F549" s="343"/>
      <c r="G549" s="62"/>
      <c r="H549" s="62"/>
      <c r="I549" s="69">
        <v>0</v>
      </c>
      <c r="J549" s="958">
        <v>0</v>
      </c>
      <c r="K549" s="681"/>
    </row>
    <row r="550" spans="1:11" s="19" customFormat="1" ht="28.5" customHeight="1">
      <c r="A550" s="61" t="s">
        <v>48</v>
      </c>
      <c r="B550" s="75"/>
      <c r="C550" s="60"/>
      <c r="D550" s="109"/>
      <c r="E550" s="125"/>
      <c r="F550" s="717"/>
      <c r="G550" s="62"/>
      <c r="H550" s="69"/>
      <c r="I550" s="69"/>
      <c r="J550" s="958"/>
      <c r="K550" s="681"/>
    </row>
    <row r="551" spans="1:11" s="19" customFormat="1" ht="27.75" customHeight="1">
      <c r="A551" s="71" t="s">
        <v>49</v>
      </c>
      <c r="B551" s="81"/>
      <c r="C551" s="60"/>
      <c r="D551" s="109"/>
      <c r="E551" s="125"/>
      <c r="F551" s="344">
        <f>F542+F549</f>
        <v>9969418.02</v>
      </c>
      <c r="G551" s="130">
        <f>SUM(G542:G550)</f>
        <v>5603685.25</v>
      </c>
      <c r="H551" s="131">
        <f>SUM(H542:H550)</f>
        <v>6106314.75</v>
      </c>
      <c r="I551" s="130">
        <f>SUM(I542:I550)</f>
        <v>11710000</v>
      </c>
      <c r="J551" s="960">
        <f>SUM(J542:J550)</f>
        <v>14200000</v>
      </c>
      <c r="K551" s="681"/>
    </row>
    <row r="552" spans="1:11" s="19" customFormat="1" ht="20.25">
      <c r="A552" s="71" t="s">
        <v>51</v>
      </c>
      <c r="B552" s="81"/>
      <c r="C552" s="60"/>
      <c r="D552" s="109"/>
      <c r="E552" s="125"/>
      <c r="F552" s="345"/>
      <c r="G552" s="270"/>
      <c r="H552" s="132"/>
      <c r="I552" s="132"/>
      <c r="J552" s="961"/>
      <c r="K552" s="681"/>
    </row>
    <row r="553" spans="1:11" s="19" customFormat="1" ht="20.25">
      <c r="A553" s="71"/>
      <c r="B553" s="16" t="s">
        <v>159</v>
      </c>
      <c r="C553" s="260"/>
      <c r="D553" s="133"/>
      <c r="E553" s="125"/>
      <c r="F553" s="345"/>
      <c r="G553" s="270"/>
      <c r="H553" s="132"/>
      <c r="I553" s="132"/>
      <c r="J553" s="961"/>
      <c r="K553" s="681"/>
    </row>
    <row r="554" spans="1:11" s="19" customFormat="1" ht="17.25">
      <c r="A554" s="71"/>
      <c r="B554" s="260" t="s">
        <v>52</v>
      </c>
      <c r="C554" s="260"/>
      <c r="D554" s="133"/>
      <c r="E554" s="125"/>
      <c r="F554" s="98">
        <v>3737332.72</v>
      </c>
      <c r="G554" s="98">
        <v>1995563.5</v>
      </c>
      <c r="H554" s="98">
        <f>I554-G554</f>
        <v>2009676.5</v>
      </c>
      <c r="I554" s="98">
        <v>4005240</v>
      </c>
      <c r="J554" s="98">
        <v>4003593</v>
      </c>
      <c r="K554" s="681"/>
    </row>
    <row r="555" spans="1:11" s="19" customFormat="1" ht="17.25">
      <c r="A555" s="71"/>
      <c r="B555" s="260" t="s">
        <v>53</v>
      </c>
      <c r="C555" s="260"/>
      <c r="D555" s="133"/>
      <c r="E555" s="125"/>
      <c r="F555" s="346">
        <v>362000</v>
      </c>
      <c r="G555" s="98">
        <v>189000</v>
      </c>
      <c r="H555" s="98">
        <f aca="true" t="shared" si="0" ref="H555:H570">I555-G555</f>
        <v>195000</v>
      </c>
      <c r="I555" s="98">
        <v>384000</v>
      </c>
      <c r="J555" s="98">
        <v>384000</v>
      </c>
      <c r="K555" s="681"/>
    </row>
    <row r="556" spans="1:11" s="19" customFormat="1" ht="17.25">
      <c r="A556" s="71"/>
      <c r="B556" s="260" t="s">
        <v>54</v>
      </c>
      <c r="C556" s="260"/>
      <c r="D556" s="133"/>
      <c r="E556" s="125"/>
      <c r="F556" s="98">
        <v>128812.5</v>
      </c>
      <c r="G556" s="98">
        <v>67500</v>
      </c>
      <c r="H556" s="98">
        <f t="shared" si="0"/>
        <v>67500</v>
      </c>
      <c r="I556" s="98">
        <v>135000</v>
      </c>
      <c r="J556" s="98">
        <v>135000</v>
      </c>
      <c r="K556" s="681"/>
    </row>
    <row r="557" spans="1:11" s="19" customFormat="1" ht="17.25">
      <c r="A557" s="71"/>
      <c r="B557" s="260" t="s">
        <v>55</v>
      </c>
      <c r="C557" s="260"/>
      <c r="D557" s="133"/>
      <c r="E557" s="125"/>
      <c r="F557" s="98">
        <v>128812.5</v>
      </c>
      <c r="G557" s="98">
        <v>67500</v>
      </c>
      <c r="H557" s="98">
        <f t="shared" si="0"/>
        <v>67500</v>
      </c>
      <c r="I557" s="98">
        <v>135000</v>
      </c>
      <c r="J557" s="98">
        <v>135000</v>
      </c>
      <c r="K557" s="681"/>
    </row>
    <row r="558" spans="1:11" s="19" customFormat="1" ht="17.25">
      <c r="A558" s="71"/>
      <c r="B558" s="260" t="s">
        <v>484</v>
      </c>
      <c r="C558" s="260"/>
      <c r="D558" s="133"/>
      <c r="E558" s="125"/>
      <c r="F558" s="98">
        <v>84000</v>
      </c>
      <c r="G558" s="98">
        <v>96000</v>
      </c>
      <c r="H558" s="98">
        <f t="shared" si="0"/>
        <v>0</v>
      </c>
      <c r="I558" s="98">
        <v>96000</v>
      </c>
      <c r="J558" s="98">
        <v>96000</v>
      </c>
      <c r="K558" s="681"/>
    </row>
    <row r="559" spans="1:11" s="19" customFormat="1" ht="17.25">
      <c r="A559" s="71"/>
      <c r="B559" s="260" t="s">
        <v>0</v>
      </c>
      <c r="C559" s="260"/>
      <c r="D559" s="133"/>
      <c r="E559" s="125"/>
      <c r="F559" s="347">
        <v>326357</v>
      </c>
      <c r="G559" s="98">
        <v>0</v>
      </c>
      <c r="H559" s="98">
        <f t="shared" si="0"/>
        <v>333770</v>
      </c>
      <c r="I559" s="98">
        <v>333770</v>
      </c>
      <c r="J559" s="98">
        <v>333632.75</v>
      </c>
      <c r="K559" s="681"/>
    </row>
    <row r="560" spans="1:11" s="19" customFormat="1" ht="17.25">
      <c r="A560" s="71"/>
      <c r="B560" s="260" t="s">
        <v>59</v>
      </c>
      <c r="C560" s="260"/>
      <c r="D560" s="133"/>
      <c r="E560" s="125"/>
      <c r="F560" s="98">
        <v>80000</v>
      </c>
      <c r="G560" s="98">
        <v>0</v>
      </c>
      <c r="H560" s="98">
        <f t="shared" si="0"/>
        <v>80000</v>
      </c>
      <c r="I560" s="98">
        <v>80000</v>
      </c>
      <c r="J560" s="98">
        <v>80000</v>
      </c>
      <c r="K560" s="681"/>
    </row>
    <row r="561" spans="1:11" s="19" customFormat="1" ht="17.25">
      <c r="A561" s="71"/>
      <c r="B561" s="260" t="s">
        <v>280</v>
      </c>
      <c r="C561" s="260"/>
      <c r="D561" s="133"/>
      <c r="E561" s="125"/>
      <c r="F561" s="98">
        <v>298335.38</v>
      </c>
      <c r="G561" s="98">
        <v>209493.7</v>
      </c>
      <c r="H561" s="98">
        <f t="shared" si="0"/>
        <v>113066.38</v>
      </c>
      <c r="I561" s="98">
        <v>322560.08</v>
      </c>
      <c r="J561" s="98">
        <v>333632.75</v>
      </c>
      <c r="K561" s="681"/>
    </row>
    <row r="562" spans="1:11" s="19" customFormat="1" ht="17.25">
      <c r="A562" s="71"/>
      <c r="B562" s="260" t="s">
        <v>60</v>
      </c>
      <c r="C562" s="260"/>
      <c r="D562" s="133"/>
      <c r="E562" s="125"/>
      <c r="F562" s="327">
        <v>316319.38</v>
      </c>
      <c r="G562" s="98">
        <v>333684</v>
      </c>
      <c r="H562" s="98">
        <f t="shared" si="0"/>
        <v>86</v>
      </c>
      <c r="I562" s="98">
        <v>333770</v>
      </c>
      <c r="J562" s="98">
        <v>333632.75</v>
      </c>
      <c r="K562" s="681"/>
    </row>
    <row r="563" spans="1:11" s="19" customFormat="1" ht="17.25">
      <c r="A563" s="71"/>
      <c r="B563" s="260" t="s">
        <v>485</v>
      </c>
      <c r="C563" s="260"/>
      <c r="D563" s="133"/>
      <c r="E563" s="125"/>
      <c r="F563" s="98">
        <v>440581.39</v>
      </c>
      <c r="G563" s="98">
        <v>238828.08</v>
      </c>
      <c r="H563" s="98">
        <f t="shared" si="0"/>
        <v>241800.72</v>
      </c>
      <c r="I563" s="98">
        <v>480628.8</v>
      </c>
      <c r="J563" s="98">
        <v>480431.16</v>
      </c>
      <c r="K563" s="681"/>
    </row>
    <row r="564" spans="1:11" s="19" customFormat="1" ht="17.25">
      <c r="A564" s="71"/>
      <c r="B564" s="260" t="s">
        <v>61</v>
      </c>
      <c r="C564" s="260"/>
      <c r="D564" s="133"/>
      <c r="E564" s="125"/>
      <c r="F564" s="98">
        <v>27235.38</v>
      </c>
      <c r="G564" s="98">
        <v>10178.74</v>
      </c>
      <c r="H564" s="98">
        <f t="shared" si="0"/>
        <v>69926.06</v>
      </c>
      <c r="I564" s="98">
        <v>80104.8</v>
      </c>
      <c r="J564" s="98">
        <v>19200</v>
      </c>
      <c r="K564" s="681"/>
    </row>
    <row r="565" spans="1:11" s="19" customFormat="1" ht="17.25">
      <c r="A565" s="71"/>
      <c r="B565" s="260" t="s">
        <v>62</v>
      </c>
      <c r="C565" s="260"/>
      <c r="D565" s="133"/>
      <c r="E565" s="125"/>
      <c r="F565" s="98">
        <v>42069.42</v>
      </c>
      <c r="G565" s="98">
        <v>27908.43</v>
      </c>
      <c r="H565" s="98">
        <f t="shared" si="0"/>
        <v>32170.17</v>
      </c>
      <c r="I565" s="98">
        <v>60078.6</v>
      </c>
      <c r="J565" s="98">
        <v>70062.8775</v>
      </c>
      <c r="K565" s="681"/>
    </row>
    <row r="566" spans="1:11" s="19" customFormat="1" ht="17.25">
      <c r="A566" s="71"/>
      <c r="B566" s="260" t="s">
        <v>262</v>
      </c>
      <c r="C566" s="260"/>
      <c r="D566" s="133"/>
      <c r="E566" s="125"/>
      <c r="F566" s="98">
        <v>18218.77</v>
      </c>
      <c r="G566" s="98">
        <v>9398.44</v>
      </c>
      <c r="H566" s="98">
        <f t="shared" si="0"/>
        <v>9801.56</v>
      </c>
      <c r="I566" s="98">
        <v>19200</v>
      </c>
      <c r="J566" s="98">
        <v>19200</v>
      </c>
      <c r="K566" s="681"/>
    </row>
    <row r="567" spans="1:11" s="19" customFormat="1" ht="17.25">
      <c r="A567" s="71"/>
      <c r="B567" s="260" t="s">
        <v>64</v>
      </c>
      <c r="C567" s="260"/>
      <c r="D567" s="133"/>
      <c r="E567" s="125"/>
      <c r="F567" s="98">
        <v>200058</v>
      </c>
      <c r="G567" s="98">
        <v>0</v>
      </c>
      <c r="H567" s="98">
        <f t="shared" si="0"/>
        <v>267412.41000000003</v>
      </c>
      <c r="I567" s="98">
        <v>267412.41000000003</v>
      </c>
      <c r="J567" s="98">
        <v>192799.85</v>
      </c>
      <c r="K567" s="681"/>
    </row>
    <row r="568" spans="1:11" s="19" customFormat="1" ht="17.25">
      <c r="A568" s="71"/>
      <c r="B568" s="260" t="s">
        <v>66</v>
      </c>
      <c r="C568" s="260"/>
      <c r="D568" s="133"/>
      <c r="E568" s="125"/>
      <c r="F568" s="98">
        <f>144996.38+425000</f>
        <v>569996.38</v>
      </c>
      <c r="G568" s="98">
        <v>68705.3</v>
      </c>
      <c r="H568" s="98">
        <f>I568-G568</f>
        <v>566967.19</v>
      </c>
      <c r="I568" s="98">
        <v>635672.49</v>
      </c>
      <c r="J568" s="98">
        <v>320000</v>
      </c>
      <c r="K568" s="681"/>
    </row>
    <row r="569" spans="1:11" s="19" customFormat="1" ht="17.25">
      <c r="A569" s="71"/>
      <c r="B569" s="260" t="s">
        <v>57</v>
      </c>
      <c r="C569" s="260"/>
      <c r="D569" s="133"/>
      <c r="E569" s="125"/>
      <c r="F569" s="98">
        <v>80000</v>
      </c>
      <c r="G569" s="98">
        <v>0</v>
      </c>
      <c r="H569" s="98">
        <f t="shared" si="0"/>
        <v>80000</v>
      </c>
      <c r="I569" s="98">
        <v>80000</v>
      </c>
      <c r="J569" s="98">
        <v>80000</v>
      </c>
      <c r="K569" s="681"/>
    </row>
    <row r="570" spans="1:11" s="19" customFormat="1" ht="17.25">
      <c r="A570" s="71"/>
      <c r="B570" s="260" t="s">
        <v>160</v>
      </c>
      <c r="C570" s="260"/>
      <c r="D570" s="133"/>
      <c r="E570" s="125"/>
      <c r="F570" s="98">
        <v>0</v>
      </c>
      <c r="G570" s="98">
        <v>0</v>
      </c>
      <c r="H570" s="98">
        <f t="shared" si="0"/>
        <v>7054.67</v>
      </c>
      <c r="I570" s="98">
        <v>7054.67</v>
      </c>
      <c r="J570" s="98">
        <v>19200</v>
      </c>
      <c r="K570" s="681"/>
    </row>
    <row r="571" spans="1:11" s="19" customFormat="1" ht="17.25">
      <c r="A571" s="71"/>
      <c r="B571" s="260" t="s">
        <v>294</v>
      </c>
      <c r="C571" s="260"/>
      <c r="D571" s="133"/>
      <c r="E571" s="125"/>
      <c r="F571" s="98">
        <v>265619.48</v>
      </c>
      <c r="G571" s="98"/>
      <c r="H571" s="98">
        <v>0</v>
      </c>
      <c r="I571" s="98"/>
      <c r="J571" s="98">
        <v>703333.46</v>
      </c>
      <c r="K571" s="681"/>
    </row>
    <row r="572" spans="1:11" s="19" customFormat="1" ht="27" customHeight="1">
      <c r="A572" s="71"/>
      <c r="B572" s="134" t="s">
        <v>161</v>
      </c>
      <c r="C572" s="11"/>
      <c r="D572" s="135"/>
      <c r="E572" s="136"/>
      <c r="F572" s="86">
        <f>SUM(F554:F571)</f>
        <v>7105748.299999999</v>
      </c>
      <c r="G572" s="86">
        <f>SUM(G554:G571)</f>
        <v>3313760.1900000004</v>
      </c>
      <c r="H572" s="86">
        <f>SUM(H554:H571)</f>
        <v>4141731.66</v>
      </c>
      <c r="I572" s="86">
        <f>SUM(I554:I571)</f>
        <v>7455491.85</v>
      </c>
      <c r="J572" s="86">
        <f>SUM(J554:J571)</f>
        <v>7738718.5975</v>
      </c>
      <c r="K572" s="681"/>
    </row>
    <row r="573" spans="1:11" s="19" customFormat="1" ht="27" customHeight="1">
      <c r="A573" s="71"/>
      <c r="B573" s="137" t="s">
        <v>162</v>
      </c>
      <c r="C573" s="60"/>
      <c r="D573" s="109"/>
      <c r="E573" s="125"/>
      <c r="F573" s="716"/>
      <c r="G573" s="62"/>
      <c r="H573" s="69"/>
      <c r="I573" s="69"/>
      <c r="J573" s="958"/>
      <c r="K573" s="681"/>
    </row>
    <row r="574" spans="1:11" s="19" customFormat="1" ht="17.25">
      <c r="A574" s="71"/>
      <c r="B574" s="260" t="s">
        <v>69</v>
      </c>
      <c r="C574" s="60"/>
      <c r="D574" s="133"/>
      <c r="E574" s="125"/>
      <c r="F574" s="98">
        <v>53986</v>
      </c>
      <c r="G574" s="98">
        <v>1736</v>
      </c>
      <c r="H574" s="98">
        <f>I574-G574</f>
        <v>98264</v>
      </c>
      <c r="I574" s="98">
        <v>100000</v>
      </c>
      <c r="J574" s="98">
        <v>100000</v>
      </c>
      <c r="K574" s="681"/>
    </row>
    <row r="575" spans="1:11" s="19" customFormat="1" ht="17.25">
      <c r="A575" s="71"/>
      <c r="B575" s="260" t="s">
        <v>176</v>
      </c>
      <c r="C575" s="60"/>
      <c r="D575" s="133"/>
      <c r="E575" s="125"/>
      <c r="F575" s="98">
        <v>11200</v>
      </c>
      <c r="G575" s="98">
        <v>0</v>
      </c>
      <c r="H575" s="98">
        <f aca="true" t="shared" si="1" ref="H575:H585">I575-G575</f>
        <v>100000</v>
      </c>
      <c r="I575" s="98">
        <v>100000</v>
      </c>
      <c r="J575" s="98">
        <v>50000</v>
      </c>
      <c r="K575" s="681"/>
    </row>
    <row r="576" spans="1:11" s="19" customFormat="1" ht="17.25">
      <c r="A576" s="71"/>
      <c r="B576" s="260" t="s">
        <v>70</v>
      </c>
      <c r="C576" s="60"/>
      <c r="D576" s="133"/>
      <c r="E576" s="125"/>
      <c r="F576" s="98">
        <v>43145.69</v>
      </c>
      <c r="G576" s="98">
        <v>20979</v>
      </c>
      <c r="H576" s="98">
        <f t="shared" si="1"/>
        <v>49021</v>
      </c>
      <c r="I576" s="98">
        <v>70000</v>
      </c>
      <c r="J576" s="98">
        <v>70000</v>
      </c>
      <c r="K576" s="681"/>
    </row>
    <row r="577" spans="1:11" s="19" customFormat="1" ht="17.25">
      <c r="A577" s="71"/>
      <c r="B577" s="260" t="s">
        <v>263</v>
      </c>
      <c r="C577" s="60"/>
      <c r="D577" s="133"/>
      <c r="E577" s="125"/>
      <c r="F577" s="98">
        <v>16553.32</v>
      </c>
      <c r="G577" s="98">
        <v>0</v>
      </c>
      <c r="H577" s="98">
        <f t="shared" si="1"/>
        <v>60000</v>
      </c>
      <c r="I577" s="98">
        <v>60000</v>
      </c>
      <c r="J577" s="98">
        <v>60000</v>
      </c>
      <c r="K577" s="681"/>
    </row>
    <row r="578" spans="1:11" s="19" customFormat="1" ht="17.25">
      <c r="A578" s="71"/>
      <c r="B578" s="260" t="s">
        <v>496</v>
      </c>
      <c r="C578" s="60"/>
      <c r="D578" s="133"/>
      <c r="E578" s="125"/>
      <c r="F578" s="98">
        <v>194910</v>
      </c>
      <c r="G578" s="98">
        <v>49020</v>
      </c>
      <c r="H578" s="98">
        <f t="shared" si="1"/>
        <v>400980</v>
      </c>
      <c r="I578" s="98">
        <v>450000</v>
      </c>
      <c r="J578" s="98">
        <v>450000</v>
      </c>
      <c r="K578" s="681"/>
    </row>
    <row r="579" spans="1:11" s="19" customFormat="1" ht="17.25">
      <c r="A579" s="71"/>
      <c r="B579" s="260" t="s">
        <v>163</v>
      </c>
      <c r="C579" s="60"/>
      <c r="D579" s="133"/>
      <c r="E579" s="125"/>
      <c r="F579" s="98">
        <f>196467.5+213941.59</f>
        <v>410409.08999999997</v>
      </c>
      <c r="G579" s="98">
        <f>90202.04+387875.49</f>
        <v>478077.52999999997</v>
      </c>
      <c r="H579" s="98">
        <f t="shared" si="1"/>
        <v>121922.47000000003</v>
      </c>
      <c r="I579" s="98">
        <v>600000</v>
      </c>
      <c r="J579" s="98">
        <v>800000</v>
      </c>
      <c r="K579" s="681"/>
    </row>
    <row r="580" spans="1:11" s="19" customFormat="1" ht="17.25">
      <c r="A580" s="71"/>
      <c r="B580" s="260" t="s">
        <v>97</v>
      </c>
      <c r="C580" s="60"/>
      <c r="D580" s="133"/>
      <c r="E580" s="125"/>
      <c r="F580" s="98">
        <v>34500</v>
      </c>
      <c r="G580" s="98">
        <v>18000</v>
      </c>
      <c r="H580" s="98">
        <f t="shared" si="1"/>
        <v>30000</v>
      </c>
      <c r="I580" s="98">
        <v>48000</v>
      </c>
      <c r="J580" s="98">
        <v>48000</v>
      </c>
      <c r="K580" s="681"/>
    </row>
    <row r="581" spans="1:11" s="19" customFormat="1" ht="17.25">
      <c r="A581" s="71"/>
      <c r="B581" s="260" t="s">
        <v>78</v>
      </c>
      <c r="C581" s="60"/>
      <c r="D581" s="133"/>
      <c r="E581" s="125"/>
      <c r="F581" s="98">
        <v>1116780</v>
      </c>
      <c r="G581" s="98">
        <v>624260</v>
      </c>
      <c r="H581" s="98">
        <f t="shared" si="1"/>
        <v>625740</v>
      </c>
      <c r="I581" s="98">
        <v>1250000</v>
      </c>
      <c r="J581" s="98">
        <v>3000000</v>
      </c>
      <c r="K581" s="681"/>
    </row>
    <row r="582" spans="1:11" s="19" customFormat="1" ht="17.25">
      <c r="A582" s="71"/>
      <c r="B582" s="260" t="s">
        <v>265</v>
      </c>
      <c r="C582" s="60"/>
      <c r="D582" s="133"/>
      <c r="E582" s="125"/>
      <c r="F582" s="98">
        <v>67510.6</v>
      </c>
      <c r="G582" s="98">
        <v>0</v>
      </c>
      <c r="H582" s="98">
        <f t="shared" si="1"/>
        <v>100000</v>
      </c>
      <c r="I582" s="98">
        <v>100000</v>
      </c>
      <c r="J582" s="98">
        <v>100000</v>
      </c>
      <c r="K582" s="681"/>
    </row>
    <row r="583" spans="1:11" s="19" customFormat="1" ht="17.25">
      <c r="A583" s="71"/>
      <c r="B583" s="260" t="s">
        <v>405</v>
      </c>
      <c r="C583" s="60"/>
      <c r="D583" s="133"/>
      <c r="E583" s="125"/>
      <c r="F583" s="98">
        <v>40111</v>
      </c>
      <c r="G583" s="98">
        <v>0</v>
      </c>
      <c r="H583" s="98">
        <f t="shared" si="1"/>
        <v>1000000</v>
      </c>
      <c r="I583" s="98">
        <v>1000000</v>
      </c>
      <c r="J583" s="98">
        <v>1000000</v>
      </c>
      <c r="K583" s="681"/>
    </row>
    <row r="584" spans="1:11" s="19" customFormat="1" ht="17.25">
      <c r="A584" s="71"/>
      <c r="B584" s="260" t="s">
        <v>302</v>
      </c>
      <c r="C584" s="60"/>
      <c r="D584" s="109"/>
      <c r="E584" s="125"/>
      <c r="F584" s="98"/>
      <c r="G584" s="98">
        <v>199869.14</v>
      </c>
      <c r="H584" s="98">
        <f t="shared" si="1"/>
        <v>130.85999999998603</v>
      </c>
      <c r="I584" s="98">
        <v>200000</v>
      </c>
      <c r="J584" s="98">
        <v>200000</v>
      </c>
      <c r="K584" s="681"/>
    </row>
    <row r="585" spans="1:11" s="19" customFormat="1" ht="17.25">
      <c r="A585" s="71"/>
      <c r="B585" s="405" t="s">
        <v>406</v>
      </c>
      <c r="C585" s="60"/>
      <c r="D585" s="109"/>
      <c r="E585" s="125"/>
      <c r="F585" s="98"/>
      <c r="G585" s="98">
        <v>0</v>
      </c>
      <c r="H585" s="98">
        <f t="shared" si="1"/>
        <v>100000</v>
      </c>
      <c r="I585" s="98">
        <v>100000</v>
      </c>
      <c r="J585" s="98">
        <v>100000</v>
      </c>
      <c r="K585" s="681"/>
    </row>
    <row r="586" spans="1:11" s="19" customFormat="1" ht="17.25">
      <c r="A586" s="71"/>
      <c r="B586" s="11" t="s">
        <v>381</v>
      </c>
      <c r="C586" s="60"/>
      <c r="D586" s="109"/>
      <c r="E586" s="125"/>
      <c r="F586" s="98"/>
      <c r="G586" s="98"/>
      <c r="H586" s="98"/>
      <c r="I586" s="98"/>
      <c r="J586" s="98">
        <v>300000</v>
      </c>
      <c r="K586" s="681"/>
    </row>
    <row r="587" spans="1:11" s="19" customFormat="1" ht="27" customHeight="1">
      <c r="A587" s="138"/>
      <c r="B587" s="139" t="s">
        <v>88</v>
      </c>
      <c r="C587" s="140"/>
      <c r="D587" s="135"/>
      <c r="E587" s="136"/>
      <c r="F587" s="86">
        <f>SUM(F574:F586)</f>
        <v>1989105.7000000002</v>
      </c>
      <c r="G587" s="86">
        <f>SUM(G574:G586)</f>
        <v>1391941.67</v>
      </c>
      <c r="H587" s="86">
        <f>SUM(H574:H585)</f>
        <v>2686058.3299999996</v>
      </c>
      <c r="I587" s="86">
        <f>SUM(I574:I585)</f>
        <v>4078000</v>
      </c>
      <c r="J587" s="86">
        <f>SUM(J574:J586)</f>
        <v>6278000</v>
      </c>
      <c r="K587" s="681"/>
    </row>
    <row r="588" spans="1:11" s="19" customFormat="1" ht="20.25">
      <c r="A588" s="71"/>
      <c r="B588" s="248" t="s">
        <v>89</v>
      </c>
      <c r="C588" s="60"/>
      <c r="D588" s="109"/>
      <c r="E588" s="125"/>
      <c r="F588" s="716"/>
      <c r="G588" s="62"/>
      <c r="H588" s="69"/>
      <c r="I588" s="69"/>
      <c r="J588" s="958"/>
      <c r="K588" s="681"/>
    </row>
    <row r="589" spans="1:11" s="19" customFormat="1" ht="17.25">
      <c r="A589" s="71"/>
      <c r="B589" s="242" t="s">
        <v>164</v>
      </c>
      <c r="C589" s="60"/>
      <c r="D589" s="109"/>
      <c r="E589" s="125"/>
      <c r="F589" s="98"/>
      <c r="G589" s="98"/>
      <c r="H589" s="98">
        <v>45000</v>
      </c>
      <c r="I589" s="98">
        <v>45000</v>
      </c>
      <c r="J589" s="98">
        <v>20000</v>
      </c>
      <c r="K589" s="681"/>
    </row>
    <row r="590" spans="1:11" s="19" customFormat="1" ht="17.25">
      <c r="A590" s="71"/>
      <c r="B590" s="242" t="s">
        <v>92</v>
      </c>
      <c r="C590" s="60"/>
      <c r="D590" s="109"/>
      <c r="E590" s="125"/>
      <c r="F590" s="98">
        <v>48233</v>
      </c>
      <c r="G590" s="98"/>
      <c r="H590" s="98">
        <v>0</v>
      </c>
      <c r="I590" s="98"/>
      <c r="J590" s="98">
        <v>100000</v>
      </c>
      <c r="K590" s="681"/>
    </row>
    <row r="591" spans="1:11" s="19" customFormat="1" ht="17.25">
      <c r="A591" s="71"/>
      <c r="B591" s="242" t="s">
        <v>90</v>
      </c>
      <c r="C591" s="60"/>
      <c r="D591" s="109"/>
      <c r="E591" s="125"/>
      <c r="F591" s="98"/>
      <c r="G591" s="98"/>
      <c r="H591" s="98">
        <v>30000</v>
      </c>
      <c r="I591" s="98">
        <v>30000</v>
      </c>
      <c r="J591" s="98">
        <v>20000</v>
      </c>
      <c r="K591" s="681"/>
    </row>
    <row r="592" spans="1:11" s="19" customFormat="1" ht="17.25">
      <c r="A592" s="71"/>
      <c r="B592" s="242" t="s">
        <v>195</v>
      </c>
      <c r="C592" s="60"/>
      <c r="D592" s="109"/>
      <c r="E592" s="125"/>
      <c r="F592" s="98">
        <v>22450</v>
      </c>
      <c r="G592" s="98"/>
      <c r="H592" s="98">
        <v>100000</v>
      </c>
      <c r="I592" s="98">
        <v>100000</v>
      </c>
      <c r="J592" s="98"/>
      <c r="K592" s="681"/>
    </row>
    <row r="593" spans="1:11" s="19" customFormat="1" ht="30" customHeight="1" thickBot="1">
      <c r="A593" s="144"/>
      <c r="B593" s="145" t="s">
        <v>94</v>
      </c>
      <c r="C593" s="142"/>
      <c r="D593" s="143"/>
      <c r="E593" s="136"/>
      <c r="F593" s="146">
        <f>SUM(F589:F592)</f>
        <v>70683</v>
      </c>
      <c r="G593" s="146">
        <f>SUM(G589:G592)</f>
        <v>0</v>
      </c>
      <c r="H593" s="146">
        <f>SUM(H589:H592)</f>
        <v>175000</v>
      </c>
      <c r="I593" s="146">
        <f>SUM(I589:I592)</f>
        <v>175000</v>
      </c>
      <c r="J593" s="146">
        <f>SUM(J589:J592)</f>
        <v>140000</v>
      </c>
      <c r="K593" s="681"/>
    </row>
    <row r="594" spans="1:11" s="18" customFormat="1" ht="27" customHeight="1" thickBot="1">
      <c r="A594" s="147" t="s">
        <v>95</v>
      </c>
      <c r="B594" s="148"/>
      <c r="C594" s="149"/>
      <c r="D594" s="150"/>
      <c r="E594" s="151"/>
      <c r="F594" s="85">
        <f>F593+F587+F572</f>
        <v>9165537</v>
      </c>
      <c r="G594" s="85">
        <f>G593+G587+G572</f>
        <v>4705701.86</v>
      </c>
      <c r="H594" s="85">
        <f>H593+H587+H572</f>
        <v>7002789.99</v>
      </c>
      <c r="I594" s="85">
        <f>I593+I587+I572</f>
        <v>11708491.85</v>
      </c>
      <c r="J594" s="85">
        <f>J593+J587+J572</f>
        <v>14156718.5975</v>
      </c>
      <c r="K594" s="682"/>
    </row>
    <row r="595" spans="1:11" s="18" customFormat="1" ht="24.75" customHeight="1">
      <c r="A595" s="152" t="s">
        <v>150</v>
      </c>
      <c r="B595" s="153"/>
      <c r="C595" s="154"/>
      <c r="D595" s="155"/>
      <c r="E595" s="156"/>
      <c r="F595" s="157">
        <f>+F551-F594</f>
        <v>803881.0199999996</v>
      </c>
      <c r="G595" s="158">
        <f>+G551-G594</f>
        <v>897983.3899999997</v>
      </c>
      <c r="H595" s="159">
        <f>+H551-H594</f>
        <v>-896475.2400000002</v>
      </c>
      <c r="I595" s="157">
        <f>I551-I594</f>
        <v>1508.1500000003725</v>
      </c>
      <c r="J595" s="962">
        <f>J551-J594</f>
        <v>43281.40249999985</v>
      </c>
      <c r="K595" s="682"/>
    </row>
    <row r="596" spans="1:11" s="19" customFormat="1" ht="15.75" customHeight="1">
      <c r="A596" s="160"/>
      <c r="B596" s="22"/>
      <c r="C596" s="22"/>
      <c r="D596" s="161"/>
      <c r="E596" s="161"/>
      <c r="F596" s="161"/>
      <c r="G596" s="349"/>
      <c r="H596" s="22"/>
      <c r="I596" s="22"/>
      <c r="J596" s="261"/>
      <c r="K596" s="681"/>
    </row>
    <row r="597" spans="1:11" s="241" customFormat="1" ht="20.25" customHeight="1">
      <c r="A597" s="104" t="s">
        <v>151</v>
      </c>
      <c r="B597" s="105"/>
      <c r="C597" s="105"/>
      <c r="D597" s="106"/>
      <c r="E597" s="106"/>
      <c r="F597" s="106"/>
      <c r="G597" s="106"/>
      <c r="H597" s="106"/>
      <c r="I597" s="106"/>
      <c r="J597" s="954"/>
      <c r="K597" s="680"/>
    </row>
    <row r="598" spans="1:11" s="241" customFormat="1" ht="15" customHeight="1">
      <c r="A598" s="104"/>
      <c r="B598" s="105"/>
      <c r="C598" s="105"/>
      <c r="D598" s="106"/>
      <c r="E598" s="106"/>
      <c r="F598" s="106"/>
      <c r="G598" s="106"/>
      <c r="H598" s="106"/>
      <c r="I598" s="106"/>
      <c r="J598" s="954"/>
      <c r="K598" s="680"/>
    </row>
    <row r="599" spans="1:11" s="241" customFormat="1" ht="15" customHeight="1">
      <c r="A599" s="104"/>
      <c r="B599" s="105"/>
      <c r="C599" s="105"/>
      <c r="D599" s="106"/>
      <c r="E599" s="106"/>
      <c r="F599" s="106"/>
      <c r="G599" s="106"/>
      <c r="H599" s="106"/>
      <c r="I599" s="106"/>
      <c r="J599" s="954"/>
      <c r="K599" s="680"/>
    </row>
    <row r="600" spans="1:11" s="19" customFormat="1" ht="19.5" customHeight="1">
      <c r="A600" s="1034" t="s">
        <v>165</v>
      </c>
      <c r="B600" s="1030"/>
      <c r="C600" s="1030"/>
      <c r="D600" s="1030"/>
      <c r="E600" s="251"/>
      <c r="F600" s="709"/>
      <c r="G600" s="1030" t="s">
        <v>166</v>
      </c>
      <c r="H600" s="1030"/>
      <c r="I600" s="1030"/>
      <c r="J600" s="1031"/>
      <c r="K600" s="681"/>
    </row>
    <row r="601" spans="1:11" s="19" customFormat="1" ht="19.5" customHeight="1">
      <c r="A601" s="1044" t="s">
        <v>167</v>
      </c>
      <c r="B601" s="1032"/>
      <c r="C601" s="1032"/>
      <c r="D601" s="75"/>
      <c r="E601" s="75"/>
      <c r="F601" s="710"/>
      <c r="G601" s="1032" t="s">
        <v>168</v>
      </c>
      <c r="H601" s="1032"/>
      <c r="I601" s="1032"/>
      <c r="J601" s="1033"/>
      <c r="K601" s="681"/>
    </row>
    <row r="602" spans="1:11" s="19" customFormat="1" ht="19.5" customHeight="1">
      <c r="A602" s="255"/>
      <c r="B602" s="256"/>
      <c r="C602" s="256"/>
      <c r="D602" s="75"/>
      <c r="E602" s="75"/>
      <c r="F602" s="710"/>
      <c r="G602" s="256"/>
      <c r="H602" s="256"/>
      <c r="I602" s="400"/>
      <c r="J602" s="923"/>
      <c r="K602" s="681"/>
    </row>
    <row r="603" spans="1:11" s="19" customFormat="1" ht="12.75" customHeight="1">
      <c r="A603" s="255"/>
      <c r="B603" s="256"/>
      <c r="C603" s="256"/>
      <c r="D603" s="75"/>
      <c r="E603" s="75"/>
      <c r="F603" s="710"/>
      <c r="G603" s="256"/>
      <c r="H603" s="256"/>
      <c r="I603" s="400"/>
      <c r="J603" s="923"/>
      <c r="K603" s="681"/>
    </row>
    <row r="604" spans="1:11" s="19" customFormat="1" ht="15" customHeight="1">
      <c r="A604" s="95"/>
      <c r="B604" s="162"/>
      <c r="C604" s="162"/>
      <c r="D604" s="162"/>
      <c r="E604" s="162"/>
      <c r="F604" s="1048"/>
      <c r="G604" s="1048"/>
      <c r="H604" s="163"/>
      <c r="I604" s="163"/>
      <c r="J604" s="963"/>
      <c r="K604" s="681"/>
    </row>
    <row r="605" spans="1:11" s="19" customFormat="1" ht="19.5" customHeight="1">
      <c r="A605" s="1034" t="s">
        <v>685</v>
      </c>
      <c r="B605" s="1030"/>
      <c r="C605" s="1030"/>
      <c r="D605" s="1030"/>
      <c r="E605" s="251"/>
      <c r="F605" s="709"/>
      <c r="G605" s="1030" t="s">
        <v>624</v>
      </c>
      <c r="H605" s="1030"/>
      <c r="I605" s="1030"/>
      <c r="J605" s="1031"/>
      <c r="K605" s="681"/>
    </row>
    <row r="606" spans="1:11" s="19" customFormat="1" ht="18" customHeight="1">
      <c r="A606" s="164"/>
      <c r="B606" s="257"/>
      <c r="C606" s="256" t="s">
        <v>686</v>
      </c>
      <c r="D606" s="256"/>
      <c r="E606" s="256"/>
      <c r="F606" s="710"/>
      <c r="G606" s="1032" t="s">
        <v>169</v>
      </c>
      <c r="H606" s="1032"/>
      <c r="I606" s="1032"/>
      <c r="J606" s="1033"/>
      <c r="K606" s="681"/>
    </row>
    <row r="607" spans="1:11" s="19" customFormat="1" ht="14.25" customHeight="1">
      <c r="A607" s="165"/>
      <c r="B607" s="162"/>
      <c r="C607" s="253"/>
      <c r="D607" s="253"/>
      <c r="E607" s="253"/>
      <c r="F607" s="716"/>
      <c r="G607" s="253"/>
      <c r="H607" s="75"/>
      <c r="I607" s="75"/>
      <c r="J607" s="963"/>
      <c r="K607" s="681"/>
    </row>
    <row r="608" spans="1:11" s="19" customFormat="1" ht="12.75">
      <c r="A608" s="95"/>
      <c r="B608" s="163"/>
      <c r="C608" s="163"/>
      <c r="D608" s="163"/>
      <c r="E608" s="163"/>
      <c r="F608" s="163"/>
      <c r="G608" s="163"/>
      <c r="H608" s="163"/>
      <c r="I608" s="163"/>
      <c r="J608" s="963"/>
      <c r="K608" s="681"/>
    </row>
    <row r="609" spans="1:11" s="19" customFormat="1" ht="9" customHeight="1">
      <c r="A609" s="95"/>
      <c r="B609" s="163"/>
      <c r="C609" s="163"/>
      <c r="D609" s="163"/>
      <c r="E609" s="163"/>
      <c r="F609" s="163"/>
      <c r="G609" s="163"/>
      <c r="H609" s="163"/>
      <c r="I609" s="163"/>
      <c r="J609" s="963"/>
      <c r="K609" s="681"/>
    </row>
    <row r="610" spans="1:11" s="19" customFormat="1" ht="21" customHeight="1">
      <c r="A610" s="107" t="s">
        <v>269</v>
      </c>
      <c r="B610" s="166"/>
      <c r="C610" s="250"/>
      <c r="D610" s="250"/>
      <c r="E610" s="250"/>
      <c r="F610" s="714"/>
      <c r="G610" s="250"/>
      <c r="H610" s="166"/>
      <c r="I610" s="166"/>
      <c r="J610" s="957"/>
      <c r="K610" s="681"/>
    </row>
    <row r="611" spans="1:11" s="19" customFormat="1" ht="24" customHeight="1">
      <c r="A611" s="1058" t="str">
        <f>A520</f>
        <v>WILLIAM E. CALVEZ, CE</v>
      </c>
      <c r="B611" s="1059"/>
      <c r="C611" s="1059"/>
      <c r="D611" s="1059"/>
      <c r="E611" s="1059"/>
      <c r="F611" s="1059"/>
      <c r="G611" s="1059"/>
      <c r="H611" s="1059"/>
      <c r="I611" s="1059"/>
      <c r="J611" s="1060"/>
      <c r="K611" s="681"/>
    </row>
    <row r="612" spans="1:11" s="19" customFormat="1" ht="20.25" customHeight="1">
      <c r="A612" s="1075" t="s">
        <v>155</v>
      </c>
      <c r="B612" s="1076"/>
      <c r="C612" s="1076"/>
      <c r="D612" s="1076"/>
      <c r="E612" s="1076"/>
      <c r="F612" s="1076"/>
      <c r="G612" s="1076"/>
      <c r="H612" s="1076"/>
      <c r="I612" s="1076"/>
      <c r="J612" s="1077"/>
      <c r="K612" s="681"/>
    </row>
    <row r="613" spans="1:11" s="19" customFormat="1" ht="12.75">
      <c r="A613" s="167"/>
      <c r="B613" s="30"/>
      <c r="C613" s="30"/>
      <c r="D613" s="30"/>
      <c r="E613" s="30"/>
      <c r="F613" s="30"/>
      <c r="G613" s="30"/>
      <c r="H613" s="30"/>
      <c r="I613" s="30"/>
      <c r="J613" s="925"/>
      <c r="K613" s="681"/>
    </row>
    <row r="614" spans="1:11" s="241" customFormat="1" ht="12.75">
      <c r="A614" s="90"/>
      <c r="B614" s="90"/>
      <c r="C614" s="90"/>
      <c r="D614" s="25"/>
      <c r="E614" s="25"/>
      <c r="F614" s="25"/>
      <c r="G614" s="25"/>
      <c r="H614" s="168"/>
      <c r="I614" s="168"/>
      <c r="J614" s="168"/>
      <c r="K614" s="680"/>
    </row>
    <row r="615" spans="1:11" s="19" customFormat="1" ht="13.5">
      <c r="A615" s="111" t="str">
        <f>A524</f>
        <v>LBP Form No. 1</v>
      </c>
      <c r="B615" s="22"/>
      <c r="C615" s="22"/>
      <c r="D615" s="22"/>
      <c r="E615" s="22"/>
      <c r="F615" s="22"/>
      <c r="G615" s="23"/>
      <c r="H615" s="23"/>
      <c r="I615" s="23"/>
      <c r="J615" s="261"/>
      <c r="K615" s="681"/>
    </row>
    <row r="616" spans="1:11" s="19" customFormat="1" ht="12.75">
      <c r="A616" s="24"/>
      <c r="B616" s="25"/>
      <c r="C616" s="25"/>
      <c r="D616" s="25"/>
      <c r="E616" s="25"/>
      <c r="F616" s="25"/>
      <c r="G616" s="26"/>
      <c r="H616" s="26"/>
      <c r="I616" s="26"/>
      <c r="J616" s="27"/>
      <c r="K616" s="681"/>
    </row>
    <row r="617" spans="1:11" s="19" customFormat="1" ht="22.5">
      <c r="A617" s="1049" t="str">
        <f>A4</f>
        <v>BUDGET OF EXPENDITURES AND SOURCE OF FINANCING</v>
      </c>
      <c r="B617" s="1050"/>
      <c r="C617" s="1050"/>
      <c r="D617" s="1050"/>
      <c r="E617" s="1050"/>
      <c r="F617" s="1050"/>
      <c r="G617" s="1050"/>
      <c r="H617" s="1050"/>
      <c r="I617" s="1050"/>
      <c r="J617" s="1051"/>
      <c r="K617" s="681"/>
    </row>
    <row r="618" spans="1:11" s="19" customFormat="1" ht="20.25">
      <c r="A618" s="1052" t="str">
        <f>A5</f>
        <v>Municipality of Trento</v>
      </c>
      <c r="B618" s="1053"/>
      <c r="C618" s="1053"/>
      <c r="D618" s="1053"/>
      <c r="E618" s="1053"/>
      <c r="F618" s="1053"/>
      <c r="G618" s="1053"/>
      <c r="H618" s="1053"/>
      <c r="I618" s="1053"/>
      <c r="J618" s="1054"/>
      <c r="K618" s="681"/>
    </row>
    <row r="619" spans="1:11" s="19" customFormat="1" ht="20.25">
      <c r="A619" s="1034" t="s">
        <v>170</v>
      </c>
      <c r="B619" s="1030"/>
      <c r="C619" s="1030"/>
      <c r="D619" s="1030"/>
      <c r="E619" s="1030"/>
      <c r="F619" s="1030"/>
      <c r="G619" s="1030"/>
      <c r="H619" s="1030"/>
      <c r="I619" s="1030"/>
      <c r="J619" s="1031"/>
      <c r="K619" s="681"/>
    </row>
    <row r="620" spans="1:11" s="19" customFormat="1" ht="17.25">
      <c r="A620" s="169"/>
      <c r="B620" s="170"/>
      <c r="C620" s="171"/>
      <c r="D620" s="171"/>
      <c r="E620" s="171"/>
      <c r="F620" s="171"/>
      <c r="G620" s="171"/>
      <c r="H620" s="171"/>
      <c r="I620" s="171"/>
      <c r="J620" s="964"/>
      <c r="K620" s="681"/>
    </row>
    <row r="621" spans="1:11" s="19" customFormat="1" ht="20.25">
      <c r="A621" s="24"/>
      <c r="B621" s="25"/>
      <c r="C621" s="27"/>
      <c r="D621" s="31"/>
      <c r="E621" s="114"/>
      <c r="F621" s="39"/>
      <c r="G621" s="1035" t="s">
        <v>4</v>
      </c>
      <c r="H621" s="1036"/>
      <c r="I621" s="1036"/>
      <c r="J621" s="666"/>
      <c r="K621" s="681"/>
    </row>
    <row r="622" spans="1:11" s="19" customFormat="1" ht="17.25">
      <c r="A622" s="33"/>
      <c r="B622" s="34"/>
      <c r="C622" s="34"/>
      <c r="D622" s="115" t="s">
        <v>5</v>
      </c>
      <c r="E622" s="40" t="s">
        <v>6</v>
      </c>
      <c r="F622" s="717" t="s">
        <v>7</v>
      </c>
      <c r="G622" s="254" t="s">
        <v>8</v>
      </c>
      <c r="H622" s="37" t="s">
        <v>9</v>
      </c>
      <c r="I622" s="402"/>
      <c r="J622" s="37" t="s">
        <v>10</v>
      </c>
      <c r="K622" s="681"/>
    </row>
    <row r="623" spans="1:11" s="19" customFormat="1" ht="20.25">
      <c r="A623" s="1034" t="s">
        <v>11</v>
      </c>
      <c r="B623" s="1030"/>
      <c r="C623" s="1031"/>
      <c r="D623" s="31" t="s">
        <v>12</v>
      </c>
      <c r="E623" s="39" t="s">
        <v>13</v>
      </c>
      <c r="F623" s="717" t="s">
        <v>14</v>
      </c>
      <c r="G623" s="37" t="s">
        <v>14</v>
      </c>
      <c r="H623" s="254" t="s">
        <v>15</v>
      </c>
      <c r="I623" s="402" t="s">
        <v>1</v>
      </c>
      <c r="J623" s="37">
        <v>2021</v>
      </c>
      <c r="K623" s="681"/>
    </row>
    <row r="624" spans="1:11" s="19" customFormat="1" ht="15">
      <c r="A624" s="33"/>
      <c r="B624" s="34"/>
      <c r="C624" s="41"/>
      <c r="D624" s="109"/>
      <c r="E624" s="40"/>
      <c r="F624" s="39">
        <v>2019</v>
      </c>
      <c r="G624" s="39">
        <v>2020</v>
      </c>
      <c r="H624" s="39">
        <f>G624</f>
        <v>2020</v>
      </c>
      <c r="I624" s="39">
        <f>H624</f>
        <v>2020</v>
      </c>
      <c r="J624" s="40"/>
      <c r="K624" s="681"/>
    </row>
    <row r="625" spans="1:11" s="19" customFormat="1" ht="15">
      <c r="A625" s="1037">
        <v>-1</v>
      </c>
      <c r="B625" s="1038"/>
      <c r="C625" s="1039"/>
      <c r="D625" s="119">
        <v>-2</v>
      </c>
      <c r="E625" s="252">
        <v>-3</v>
      </c>
      <c r="F625" s="711">
        <v>-4</v>
      </c>
      <c r="G625" s="43">
        <v>-5</v>
      </c>
      <c r="H625" s="43">
        <v>-6</v>
      </c>
      <c r="I625" s="401">
        <v>-7</v>
      </c>
      <c r="J625" s="43">
        <v>-8</v>
      </c>
      <c r="K625" s="681"/>
    </row>
    <row r="626" spans="1:11" s="19" customFormat="1" ht="20.25">
      <c r="A626" s="172" t="s">
        <v>16</v>
      </c>
      <c r="B626" s="173"/>
      <c r="C626" s="174"/>
      <c r="D626" s="120"/>
      <c r="E626" s="175"/>
      <c r="F626" s="342"/>
      <c r="G626" s="122"/>
      <c r="H626" s="122"/>
      <c r="I626" s="123"/>
      <c r="J626" s="956"/>
      <c r="K626" s="681"/>
    </row>
    <row r="627" spans="1:11" s="19" customFormat="1" ht="20.25">
      <c r="A627" s="176" t="s">
        <v>18</v>
      </c>
      <c r="B627" s="177"/>
      <c r="C627" s="178"/>
      <c r="D627" s="24"/>
      <c r="E627" s="179"/>
      <c r="F627" s="60"/>
      <c r="G627" s="56"/>
      <c r="H627" s="56"/>
      <c r="I627" s="56"/>
      <c r="J627" s="957"/>
      <c r="K627" s="681"/>
    </row>
    <row r="628" spans="1:11" s="19" customFormat="1" ht="20.25">
      <c r="A628" s="176" t="s">
        <v>19</v>
      </c>
      <c r="B628" s="177"/>
      <c r="C628" s="177"/>
      <c r="D628" s="24"/>
      <c r="E628" s="179"/>
      <c r="F628" s="60"/>
      <c r="G628" s="56"/>
      <c r="H628" s="56"/>
      <c r="I628" s="56"/>
      <c r="J628" s="957"/>
      <c r="K628" s="681"/>
    </row>
    <row r="629" spans="1:11" s="19" customFormat="1" ht="20.25">
      <c r="A629" s="180" t="s">
        <v>20</v>
      </c>
      <c r="B629" s="181"/>
      <c r="C629" s="103"/>
      <c r="D629" s="24"/>
      <c r="E629" s="179"/>
      <c r="F629" s="60"/>
      <c r="G629" s="60"/>
      <c r="H629" s="60"/>
      <c r="I629" s="60"/>
      <c r="J629" s="957"/>
      <c r="K629" s="681"/>
    </row>
    <row r="630" spans="1:11" s="19" customFormat="1" ht="20.25">
      <c r="A630" s="182" t="s">
        <v>25</v>
      </c>
      <c r="B630" s="181"/>
      <c r="C630" s="103"/>
      <c r="D630" s="115"/>
      <c r="E630" s="133"/>
      <c r="F630" s="69"/>
      <c r="G630" s="62"/>
      <c r="H630" s="70"/>
      <c r="I630" s="70"/>
      <c r="J630" s="126"/>
      <c r="K630" s="681"/>
    </row>
    <row r="631" spans="1:11" s="19" customFormat="1" ht="20.25">
      <c r="A631" s="182" t="s">
        <v>26</v>
      </c>
      <c r="B631" s="181"/>
      <c r="C631" s="103"/>
      <c r="D631" s="115"/>
      <c r="E631" s="133"/>
      <c r="F631" s="69"/>
      <c r="G631" s="62"/>
      <c r="H631" s="70"/>
      <c r="I631" s="70"/>
      <c r="J631" s="126"/>
      <c r="K631" s="681"/>
    </row>
    <row r="632" spans="1:11" s="19" customFormat="1" ht="20.25">
      <c r="A632" s="182" t="s">
        <v>30</v>
      </c>
      <c r="B632" s="181"/>
      <c r="C632" s="103"/>
      <c r="D632" s="115"/>
      <c r="E632" s="133"/>
      <c r="F632" s="62">
        <v>2987302.36</v>
      </c>
      <c r="G632" s="62">
        <v>759542.87</v>
      </c>
      <c r="H632" s="62">
        <f>I632-G632</f>
        <v>2575457.13</v>
      </c>
      <c r="I632" s="126">
        <v>3335000</v>
      </c>
      <c r="J632" s="126">
        <v>3150000</v>
      </c>
      <c r="K632" s="681"/>
    </row>
    <row r="633" spans="1:11" s="19" customFormat="1" ht="20.25">
      <c r="A633" s="182" t="s">
        <v>31</v>
      </c>
      <c r="B633" s="181"/>
      <c r="C633" s="99"/>
      <c r="D633" s="93"/>
      <c r="E633" s="88"/>
      <c r="F633" s="57"/>
      <c r="G633" s="57"/>
      <c r="H633" s="184"/>
      <c r="I633" s="127"/>
      <c r="J633" s="127"/>
      <c r="K633" s="681"/>
    </row>
    <row r="634" spans="1:11" s="19" customFormat="1" ht="20.25">
      <c r="A634" s="185" t="s">
        <v>32</v>
      </c>
      <c r="B634" s="186"/>
      <c r="C634" s="103"/>
      <c r="D634" s="115"/>
      <c r="E634" s="133"/>
      <c r="F634" s="57">
        <f>F632</f>
        <v>2987302.36</v>
      </c>
      <c r="G634" s="57">
        <f>G632</f>
        <v>759542.87</v>
      </c>
      <c r="H634" s="57">
        <f>I634-G634</f>
        <v>2575457.13</v>
      </c>
      <c r="I634" s="127">
        <f>SUM(I632:I633)</f>
        <v>3335000</v>
      </c>
      <c r="J634" s="127">
        <f>SUM(J632:J633)</f>
        <v>3150000</v>
      </c>
      <c r="K634" s="681"/>
    </row>
    <row r="635" spans="1:11" s="19" customFormat="1" ht="20.25">
      <c r="A635" s="182"/>
      <c r="B635" s="181"/>
      <c r="C635" s="103"/>
      <c r="D635" s="115"/>
      <c r="E635" s="133"/>
      <c r="F635" s="717"/>
      <c r="G635" s="62"/>
      <c r="H635" s="69"/>
      <c r="I635" s="69"/>
      <c r="J635" s="958"/>
      <c r="K635" s="681"/>
    </row>
    <row r="636" spans="1:11" s="19" customFormat="1" ht="20.25">
      <c r="A636" s="176" t="s">
        <v>33</v>
      </c>
      <c r="B636" s="181"/>
      <c r="C636" s="103"/>
      <c r="D636" s="115"/>
      <c r="E636" s="133"/>
      <c r="F636" s="717"/>
      <c r="G636" s="62"/>
      <c r="H636" s="69"/>
      <c r="I636" s="69"/>
      <c r="J636" s="958"/>
      <c r="K636" s="681"/>
    </row>
    <row r="637" spans="1:11" s="19" customFormat="1" ht="20.25">
      <c r="A637" s="187" t="s">
        <v>157</v>
      </c>
      <c r="B637" s="103"/>
      <c r="C637" s="103"/>
      <c r="D637" s="115"/>
      <c r="E637" s="133"/>
      <c r="F637" s="60"/>
      <c r="G637" s="62"/>
      <c r="H637" s="69"/>
      <c r="I637" s="69"/>
      <c r="J637" s="958"/>
      <c r="K637" s="681"/>
    </row>
    <row r="638" spans="1:11" s="19" customFormat="1" ht="20.25">
      <c r="A638" s="187" t="s">
        <v>40</v>
      </c>
      <c r="B638" s="103"/>
      <c r="C638" s="103"/>
      <c r="D638" s="115"/>
      <c r="E638" s="133"/>
      <c r="F638" s="60"/>
      <c r="G638" s="62"/>
      <c r="H638" s="69"/>
      <c r="I638" s="69"/>
      <c r="J638" s="958"/>
      <c r="K638" s="681"/>
    </row>
    <row r="639" spans="1:11" s="19" customFormat="1" ht="20.25">
      <c r="A639" s="187" t="s">
        <v>41</v>
      </c>
      <c r="B639" s="103"/>
      <c r="C639" s="103"/>
      <c r="D639" s="115"/>
      <c r="E639" s="133"/>
      <c r="F639" s="75"/>
      <c r="G639" s="62"/>
      <c r="H639" s="62"/>
      <c r="I639" s="62"/>
      <c r="J639" s="126"/>
      <c r="K639" s="681"/>
    </row>
    <row r="640" spans="1:11" s="19" customFormat="1" ht="20.25">
      <c r="A640" s="187" t="s">
        <v>158</v>
      </c>
      <c r="B640" s="103"/>
      <c r="C640" s="103"/>
      <c r="D640" s="115"/>
      <c r="E640" s="133"/>
      <c r="F640" s="69"/>
      <c r="G640" s="62"/>
      <c r="H640" s="69"/>
      <c r="I640" s="69"/>
      <c r="J640" s="958"/>
      <c r="K640" s="681"/>
    </row>
    <row r="641" spans="1:11" s="19" customFormat="1" ht="20.25">
      <c r="A641" s="187" t="s">
        <v>43</v>
      </c>
      <c r="B641" s="103"/>
      <c r="C641" s="99"/>
      <c r="D641" s="93"/>
      <c r="E641" s="88"/>
      <c r="F641" s="56"/>
      <c r="G641" s="57"/>
      <c r="H641" s="56"/>
      <c r="I641" s="56"/>
      <c r="J641" s="959"/>
      <c r="K641" s="681"/>
    </row>
    <row r="642" spans="1:11" s="19" customFormat="1" ht="20.25">
      <c r="A642" s="187" t="s">
        <v>44</v>
      </c>
      <c r="B642" s="103"/>
      <c r="C642" s="103"/>
      <c r="D642" s="115"/>
      <c r="E642" s="133"/>
      <c r="F642" s="69"/>
      <c r="G642" s="62"/>
      <c r="H642" s="183"/>
      <c r="I642" s="188">
        <v>0</v>
      </c>
      <c r="J642" s="958">
        <v>0</v>
      </c>
      <c r="K642" s="681"/>
    </row>
    <row r="643" spans="1:11" s="19" customFormat="1" ht="20.25">
      <c r="A643" s="176"/>
      <c r="B643" s="177"/>
      <c r="C643" s="177"/>
      <c r="D643" s="115"/>
      <c r="E643" s="133"/>
      <c r="F643" s="69"/>
      <c r="G643" s="62"/>
      <c r="H643" s="69"/>
      <c r="I643" s="69"/>
      <c r="J643" s="958"/>
      <c r="K643" s="681"/>
    </row>
    <row r="644" spans="1:11" s="19" customFormat="1" ht="20.25">
      <c r="A644" s="182" t="s">
        <v>48</v>
      </c>
      <c r="B644" s="103"/>
      <c r="C644" s="189"/>
      <c r="D644" s="109"/>
      <c r="E644" s="133"/>
      <c r="F644" s="69"/>
      <c r="G644" s="62"/>
      <c r="H644" s="69"/>
      <c r="I644" s="69"/>
      <c r="J644" s="958"/>
      <c r="K644" s="681"/>
    </row>
    <row r="645" spans="1:11" s="19" customFormat="1" ht="20.25">
      <c r="A645" s="182"/>
      <c r="B645" s="103"/>
      <c r="C645" s="189"/>
      <c r="D645" s="109"/>
      <c r="E645" s="133"/>
      <c r="F645" s="69"/>
      <c r="G645" s="62"/>
      <c r="H645" s="69"/>
      <c r="I645" s="69"/>
      <c r="J645" s="958"/>
      <c r="K645" s="681"/>
    </row>
    <row r="646" spans="1:11" s="19" customFormat="1" ht="30.75" customHeight="1">
      <c r="A646" s="190" t="s">
        <v>49</v>
      </c>
      <c r="B646" s="191"/>
      <c r="C646" s="192"/>
      <c r="D646" s="143"/>
      <c r="E646" s="135"/>
      <c r="F646" s="87">
        <f>SUM(F634:F645)</f>
        <v>2987302.36</v>
      </c>
      <c r="G646" s="68">
        <f>SUM(G634:G645)</f>
        <v>759542.87</v>
      </c>
      <c r="H646" s="68">
        <f>SUM(H634:H645)</f>
        <v>2575457.13</v>
      </c>
      <c r="I646" s="68">
        <f>SUM(I634:I645)</f>
        <v>3335000</v>
      </c>
      <c r="J646" s="937">
        <f>SUM(J634:J645)</f>
        <v>3150000</v>
      </c>
      <c r="K646" s="681"/>
    </row>
    <row r="647" spans="1:11" s="19" customFormat="1" ht="20.25">
      <c r="A647" s="182"/>
      <c r="B647" s="103"/>
      <c r="C647" s="189"/>
      <c r="D647" s="109"/>
      <c r="E647" s="133"/>
      <c r="F647" s="69"/>
      <c r="G647" s="62"/>
      <c r="H647" s="69"/>
      <c r="I647" s="69"/>
      <c r="J647" s="958"/>
      <c r="K647" s="681"/>
    </row>
    <row r="648" spans="1:11" s="19" customFormat="1" ht="20.25">
      <c r="A648" s="185" t="s">
        <v>51</v>
      </c>
      <c r="B648" s="99"/>
      <c r="C648" s="189"/>
      <c r="D648" s="109"/>
      <c r="E648" s="133"/>
      <c r="F648" s="69"/>
      <c r="G648" s="69"/>
      <c r="H648" s="69"/>
      <c r="I648" s="69"/>
      <c r="J648" s="958"/>
      <c r="K648" s="681"/>
    </row>
    <row r="649" spans="1:11" s="19" customFormat="1" ht="20.25">
      <c r="A649" s="182"/>
      <c r="B649" s="16" t="s">
        <v>159</v>
      </c>
      <c r="C649" s="189"/>
      <c r="D649" s="109"/>
      <c r="E649" s="133"/>
      <c r="F649" s="69"/>
      <c r="G649" s="77"/>
      <c r="H649" s="62"/>
      <c r="I649" s="69"/>
      <c r="J649" s="958"/>
      <c r="K649" s="681"/>
    </row>
    <row r="650" spans="1:11" s="19" customFormat="1" ht="17.25">
      <c r="A650" s="182"/>
      <c r="B650" s="243" t="s">
        <v>52</v>
      </c>
      <c r="C650" s="189"/>
      <c r="D650" s="109"/>
      <c r="E650" s="133"/>
      <c r="F650" s="98">
        <v>637757.6</v>
      </c>
      <c r="G650" s="246">
        <v>411134.96</v>
      </c>
      <c r="H650" s="98">
        <f aca="true" t="shared" si="2" ref="H650:H664">I650-G650</f>
        <v>411573.04</v>
      </c>
      <c r="I650" s="244">
        <v>822708</v>
      </c>
      <c r="J650" s="244">
        <v>824720</v>
      </c>
      <c r="K650" s="681"/>
    </row>
    <row r="651" spans="1:11" s="19" customFormat="1" ht="17.25">
      <c r="A651" s="182"/>
      <c r="B651" s="243" t="s">
        <v>53</v>
      </c>
      <c r="C651" s="189"/>
      <c r="D651" s="109"/>
      <c r="E651" s="133"/>
      <c r="F651" s="98">
        <v>114903.14</v>
      </c>
      <c r="G651" s="246">
        <v>72000</v>
      </c>
      <c r="H651" s="98">
        <f t="shared" si="2"/>
        <v>72000</v>
      </c>
      <c r="I651" s="244">
        <v>144000</v>
      </c>
      <c r="J651" s="244">
        <f>2000*6+12</f>
        <v>12012</v>
      </c>
      <c r="K651" s="681"/>
    </row>
    <row r="652" spans="1:11" s="19" customFormat="1" ht="17.25">
      <c r="A652" s="182"/>
      <c r="B652" s="243" t="s">
        <v>484</v>
      </c>
      <c r="C652" s="189"/>
      <c r="D652" s="109"/>
      <c r="E652" s="133"/>
      <c r="F652" s="98">
        <v>30000</v>
      </c>
      <c r="G652" s="246">
        <v>36000</v>
      </c>
      <c r="H652" s="98">
        <f t="shared" si="2"/>
        <v>0</v>
      </c>
      <c r="I652" s="244">
        <v>36000</v>
      </c>
      <c r="J652" s="244">
        <f>6000*6</f>
        <v>36000</v>
      </c>
      <c r="K652" s="681"/>
    </row>
    <row r="653" spans="1:11" s="19" customFormat="1" ht="17.25">
      <c r="A653" s="182"/>
      <c r="B653" s="243" t="s">
        <v>0</v>
      </c>
      <c r="C653" s="189"/>
      <c r="D653" s="109"/>
      <c r="E653" s="133"/>
      <c r="F653" s="98">
        <v>55529</v>
      </c>
      <c r="G653" s="246">
        <v>0</v>
      </c>
      <c r="H653" s="98">
        <f t="shared" si="2"/>
        <v>70559</v>
      </c>
      <c r="I653" s="244">
        <v>70559</v>
      </c>
      <c r="J653" s="244">
        <f>J650/12</f>
        <v>68726.66666666667</v>
      </c>
      <c r="K653" s="681"/>
    </row>
    <row r="654" spans="1:11" s="19" customFormat="1" ht="17.25">
      <c r="A654" s="182"/>
      <c r="B654" s="243" t="s">
        <v>59</v>
      </c>
      <c r="C654" s="189"/>
      <c r="D654" s="109"/>
      <c r="E654" s="133"/>
      <c r="F654" s="98">
        <v>25000</v>
      </c>
      <c r="G654" s="246">
        <v>0</v>
      </c>
      <c r="H654" s="98">
        <f t="shared" si="2"/>
        <v>30000</v>
      </c>
      <c r="I654" s="244">
        <v>30000</v>
      </c>
      <c r="J654" s="244">
        <f>5000*6</f>
        <v>30000</v>
      </c>
      <c r="K654" s="681"/>
    </row>
    <row r="655" spans="1:11" s="19" customFormat="1" ht="17.25">
      <c r="A655" s="182"/>
      <c r="B655" s="243" t="s">
        <v>280</v>
      </c>
      <c r="C655" s="189"/>
      <c r="D655" s="109"/>
      <c r="E655" s="133"/>
      <c r="F655" s="98">
        <v>67793.05</v>
      </c>
      <c r="G655" s="246">
        <v>42568.5</v>
      </c>
      <c r="H655" s="98">
        <f t="shared" si="2"/>
        <v>23067</v>
      </c>
      <c r="I655" s="244">
        <v>65635.5</v>
      </c>
      <c r="J655" s="244">
        <f>J650/12</f>
        <v>68726.66666666667</v>
      </c>
      <c r="K655" s="681"/>
    </row>
    <row r="656" spans="1:11" s="19" customFormat="1" ht="17.25">
      <c r="A656" s="182"/>
      <c r="B656" s="243" t="s">
        <v>60</v>
      </c>
      <c r="C656" s="189"/>
      <c r="D656" s="109"/>
      <c r="E656" s="133"/>
      <c r="F656" s="98">
        <v>44310</v>
      </c>
      <c r="G656" s="246">
        <v>68559</v>
      </c>
      <c r="H656" s="98">
        <f t="shared" si="2"/>
        <v>2000</v>
      </c>
      <c r="I656" s="244">
        <v>70559</v>
      </c>
      <c r="J656" s="244">
        <f>J650/12</f>
        <v>68726.66666666667</v>
      </c>
      <c r="K656" s="681"/>
    </row>
    <row r="657" spans="1:11" s="19" customFormat="1" ht="17.25">
      <c r="A657" s="182"/>
      <c r="B657" s="243" t="s">
        <v>485</v>
      </c>
      <c r="C657" s="189"/>
      <c r="D657" s="109"/>
      <c r="E657" s="133"/>
      <c r="F657" s="98">
        <v>76293.55</v>
      </c>
      <c r="G657" s="246">
        <v>49336.2</v>
      </c>
      <c r="H657" s="98">
        <f t="shared" si="2"/>
        <v>49388.76000000001</v>
      </c>
      <c r="I657" s="244">
        <v>98724.96</v>
      </c>
      <c r="J657" s="244">
        <f>J650*12%</f>
        <v>98966.4</v>
      </c>
      <c r="K657" s="681"/>
    </row>
    <row r="658" spans="1:11" s="19" customFormat="1" ht="17.25">
      <c r="A658" s="182"/>
      <c r="B658" s="243" t="s">
        <v>254</v>
      </c>
      <c r="C658" s="189"/>
      <c r="D658" s="109"/>
      <c r="E658" s="133"/>
      <c r="F658" s="98">
        <v>7468.72</v>
      </c>
      <c r="G658" s="246">
        <v>3739.06</v>
      </c>
      <c r="H658" s="98">
        <f t="shared" si="2"/>
        <v>12715.1</v>
      </c>
      <c r="I658" s="244">
        <v>16454.16</v>
      </c>
      <c r="J658" s="244">
        <f>100*6*12</f>
        <v>7200</v>
      </c>
      <c r="K658" s="681"/>
    </row>
    <row r="659" spans="1:11" s="19" customFormat="1" ht="17.25">
      <c r="A659" s="182"/>
      <c r="B659" s="243" t="s">
        <v>255</v>
      </c>
      <c r="C659" s="189"/>
      <c r="D659" s="109"/>
      <c r="E659" s="133"/>
      <c r="F659" s="98">
        <v>8677.64</v>
      </c>
      <c r="G659" s="246">
        <v>6071.46</v>
      </c>
      <c r="H659" s="98">
        <f t="shared" si="2"/>
        <v>6269.160000000001</v>
      </c>
      <c r="I659" s="244">
        <v>12340.62</v>
      </c>
      <c r="J659" s="244">
        <f>J650*1.75%</f>
        <v>14432.600000000002</v>
      </c>
      <c r="K659" s="681"/>
    </row>
    <row r="660" spans="1:11" s="19" customFormat="1" ht="17.25">
      <c r="A660" s="182"/>
      <c r="B660" s="260" t="s">
        <v>262</v>
      </c>
      <c r="C660" s="189"/>
      <c r="D660" s="109"/>
      <c r="E660" s="133"/>
      <c r="F660" s="98">
        <v>5746.92</v>
      </c>
      <c r="G660" s="246">
        <v>3599.22</v>
      </c>
      <c r="H660" s="98">
        <f t="shared" si="2"/>
        <v>3600.78</v>
      </c>
      <c r="I660" s="244">
        <v>7200</v>
      </c>
      <c r="J660" s="244">
        <f>J658</f>
        <v>7200</v>
      </c>
      <c r="K660" s="681"/>
    </row>
    <row r="661" spans="1:11" s="19" customFormat="1" ht="17.25">
      <c r="A661" s="182"/>
      <c r="B661" s="243" t="s">
        <v>66</v>
      </c>
      <c r="C661" s="189"/>
      <c r="D661" s="109"/>
      <c r="E661" s="133"/>
      <c r="F661" s="98">
        <v>125000</v>
      </c>
      <c r="G661" s="246">
        <v>24856.19</v>
      </c>
      <c r="H661" s="98">
        <f t="shared" si="2"/>
        <v>126373.91999999998</v>
      </c>
      <c r="I661" s="244">
        <v>151230.11</v>
      </c>
      <c r="J661" s="244">
        <f>20000*6</f>
        <v>120000</v>
      </c>
      <c r="K661" s="681"/>
    </row>
    <row r="662" spans="1:11" s="19" customFormat="1" ht="17.25">
      <c r="A662" s="182"/>
      <c r="B662" s="243" t="s">
        <v>57</v>
      </c>
      <c r="C662" s="189"/>
      <c r="D662" s="109"/>
      <c r="E662" s="133"/>
      <c r="F662" s="98">
        <v>30000</v>
      </c>
      <c r="G662" s="246">
        <v>0</v>
      </c>
      <c r="H662" s="98">
        <f t="shared" si="2"/>
        <v>30000</v>
      </c>
      <c r="I662" s="244">
        <v>30000</v>
      </c>
      <c r="J662" s="244">
        <f>5000*6</f>
        <v>30000</v>
      </c>
      <c r="K662" s="681"/>
    </row>
    <row r="663" spans="1:11" s="19" customFormat="1" ht="17.25">
      <c r="A663" s="182"/>
      <c r="B663" s="243" t="s">
        <v>303</v>
      </c>
      <c r="C663" s="189"/>
      <c r="D663" s="109"/>
      <c r="E663" s="133"/>
      <c r="F663" s="98">
        <v>0</v>
      </c>
      <c r="G663" s="246">
        <v>0</v>
      </c>
      <c r="H663" s="98">
        <f t="shared" si="2"/>
        <v>2206.13</v>
      </c>
      <c r="I663" s="244">
        <v>2206.13</v>
      </c>
      <c r="J663" s="244">
        <v>2206.13</v>
      </c>
      <c r="K663" s="681"/>
    </row>
    <row r="664" spans="1:11" s="19" customFormat="1" ht="17.25">
      <c r="A664" s="182"/>
      <c r="B664" s="243" t="s">
        <v>294</v>
      </c>
      <c r="C664" s="189"/>
      <c r="D664" s="109"/>
      <c r="E664" s="133"/>
      <c r="F664" s="98">
        <v>60000</v>
      </c>
      <c r="G664" s="246"/>
      <c r="H664" s="98">
        <f t="shared" si="2"/>
        <v>0</v>
      </c>
      <c r="I664" s="244"/>
      <c r="J664" s="244">
        <v>177677.7</v>
      </c>
      <c r="K664" s="681"/>
    </row>
    <row r="665" spans="1:11" s="19" customFormat="1" ht="17.25">
      <c r="A665" s="193"/>
      <c r="B665" s="191" t="s">
        <v>161</v>
      </c>
      <c r="C665" s="192"/>
      <c r="D665" s="194"/>
      <c r="E665" s="135"/>
      <c r="F665" s="87">
        <f>SUM(F650:F664)</f>
        <v>1288479.6199999999</v>
      </c>
      <c r="G665" s="87">
        <f>SUM(G650:G664)</f>
        <v>717864.5899999999</v>
      </c>
      <c r="H665" s="87">
        <f>SUM(H650:H664)</f>
        <v>839752.89</v>
      </c>
      <c r="I665" s="87">
        <f>SUM(I650:I664)</f>
        <v>1557617.48</v>
      </c>
      <c r="J665" s="87">
        <f>SUM(J650:J664)</f>
        <v>1566594.8299999998</v>
      </c>
      <c r="K665" s="681"/>
    </row>
    <row r="666" spans="1:11" s="19" customFormat="1" ht="20.25">
      <c r="A666" s="182"/>
      <c r="B666" s="103"/>
      <c r="C666" s="189"/>
      <c r="D666" s="109"/>
      <c r="E666" s="133"/>
      <c r="F666" s="69"/>
      <c r="G666" s="77"/>
      <c r="H666" s="62"/>
      <c r="I666" s="69"/>
      <c r="J666" s="958"/>
      <c r="K666" s="681"/>
    </row>
    <row r="667" spans="1:11" s="19" customFormat="1" ht="20.25">
      <c r="A667" s="182"/>
      <c r="B667" s="137" t="s">
        <v>162</v>
      </c>
      <c r="C667" s="189"/>
      <c r="D667" s="109"/>
      <c r="E667" s="133"/>
      <c r="F667" s="69"/>
      <c r="G667" s="77"/>
      <c r="H667" s="62"/>
      <c r="I667" s="69"/>
      <c r="J667" s="958"/>
      <c r="K667" s="681"/>
    </row>
    <row r="668" spans="1:11" s="19" customFormat="1" ht="17.25">
      <c r="A668" s="182"/>
      <c r="B668" s="350" t="s">
        <v>69</v>
      </c>
      <c r="C668" s="351"/>
      <c r="D668" s="109"/>
      <c r="E668" s="133"/>
      <c r="F668" s="98">
        <v>40453</v>
      </c>
      <c r="G668" s="246">
        <v>0</v>
      </c>
      <c r="H668" s="98">
        <v>32720</v>
      </c>
      <c r="I668" s="244">
        <v>50000</v>
      </c>
      <c r="J668" s="244">
        <v>30000</v>
      </c>
      <c r="K668" s="681"/>
    </row>
    <row r="669" spans="1:11" s="19" customFormat="1" ht="17.25">
      <c r="A669" s="182"/>
      <c r="B669" s="243" t="s">
        <v>494</v>
      </c>
      <c r="C669" s="352"/>
      <c r="D669" s="109"/>
      <c r="E669" s="133"/>
      <c r="F669" s="98">
        <v>43449.22</v>
      </c>
      <c r="G669" s="246">
        <v>49050</v>
      </c>
      <c r="H669" s="98">
        <v>189129</v>
      </c>
      <c r="I669" s="244">
        <v>200000</v>
      </c>
      <c r="J669" s="244">
        <v>200000</v>
      </c>
      <c r="K669" s="681"/>
    </row>
    <row r="670" spans="1:11" s="19" customFormat="1" ht="17.25">
      <c r="A670" s="182"/>
      <c r="B670" s="243" t="s">
        <v>249</v>
      </c>
      <c r="C670" s="352"/>
      <c r="D670" s="109"/>
      <c r="E670" s="133"/>
      <c r="F670" s="98">
        <v>67054.76</v>
      </c>
      <c r="G670" s="246">
        <v>33796.3</v>
      </c>
      <c r="H670" s="98">
        <v>123615.04000000001</v>
      </c>
      <c r="I670" s="244">
        <v>150000</v>
      </c>
      <c r="J670" s="244">
        <v>150000</v>
      </c>
      <c r="K670" s="681"/>
    </row>
    <row r="671" spans="1:11" s="19" customFormat="1" ht="17.25">
      <c r="A671" s="182"/>
      <c r="B671" s="243" t="s">
        <v>171</v>
      </c>
      <c r="C671" s="352"/>
      <c r="D671" s="109"/>
      <c r="E671" s="133"/>
      <c r="F671" s="98">
        <v>800000</v>
      </c>
      <c r="G671" s="246">
        <v>417760</v>
      </c>
      <c r="H671" s="98">
        <v>442160</v>
      </c>
      <c r="I671" s="244">
        <v>1000000</v>
      </c>
      <c r="J671" s="244">
        <v>1000000</v>
      </c>
      <c r="K671" s="681"/>
    </row>
    <row r="672" spans="1:11" s="19" customFormat="1" ht="17.25">
      <c r="A672" s="182"/>
      <c r="B672" s="243" t="s">
        <v>495</v>
      </c>
      <c r="C672" s="352"/>
      <c r="D672" s="109"/>
      <c r="E672" s="133"/>
      <c r="F672" s="98">
        <v>46163</v>
      </c>
      <c r="G672" s="246">
        <v>5380.5</v>
      </c>
      <c r="H672" s="98">
        <v>69786</v>
      </c>
      <c r="I672" s="244">
        <v>75000</v>
      </c>
      <c r="J672" s="244">
        <v>50000</v>
      </c>
      <c r="K672" s="681"/>
    </row>
    <row r="673" spans="1:11" s="19" customFormat="1" ht="17.25">
      <c r="A673" s="182"/>
      <c r="B673" s="243" t="s">
        <v>425</v>
      </c>
      <c r="C673" s="352"/>
      <c r="D673" s="109"/>
      <c r="E673" s="133"/>
      <c r="F673" s="98">
        <v>56240</v>
      </c>
      <c r="G673" s="246"/>
      <c r="H673" s="98">
        <v>250000</v>
      </c>
      <c r="I673" s="244">
        <v>250000</v>
      </c>
      <c r="J673" s="244">
        <v>100000</v>
      </c>
      <c r="K673" s="681"/>
    </row>
    <row r="674" spans="1:11" s="19" customFormat="1" ht="18.75">
      <c r="A674" s="193"/>
      <c r="B674" s="145" t="s">
        <v>172</v>
      </c>
      <c r="C674" s="192"/>
      <c r="D674" s="143"/>
      <c r="E674" s="135"/>
      <c r="F674" s="87">
        <f>SUM(F668:F673)</f>
        <v>1053359.98</v>
      </c>
      <c r="G674" s="87">
        <f>SUM(G668:G673)</f>
        <v>505986.8</v>
      </c>
      <c r="H674" s="87">
        <f>SUM(H668:H673)</f>
        <v>1107410.04</v>
      </c>
      <c r="I674" s="87">
        <f>SUM(I668:I673)</f>
        <v>1725000</v>
      </c>
      <c r="J674" s="87">
        <f>SUM(J668:J673)</f>
        <v>1530000</v>
      </c>
      <c r="K674" s="681"/>
    </row>
    <row r="675" spans="1:11" s="19" customFormat="1" ht="20.25">
      <c r="A675" s="182"/>
      <c r="B675" s="16" t="s">
        <v>89</v>
      </c>
      <c r="C675" s="189"/>
      <c r="D675" s="109"/>
      <c r="E675" s="133"/>
      <c r="F675" s="69"/>
      <c r="G675" s="77"/>
      <c r="H675" s="62"/>
      <c r="I675" s="69"/>
      <c r="J675" s="958"/>
      <c r="K675" s="681"/>
    </row>
    <row r="676" spans="1:11" s="19" customFormat="1" ht="18">
      <c r="A676" s="182"/>
      <c r="B676" s="243" t="s">
        <v>90</v>
      </c>
      <c r="C676" s="189"/>
      <c r="D676" s="109"/>
      <c r="E676" s="133"/>
      <c r="F676" s="98"/>
      <c r="G676" s="246"/>
      <c r="H676" s="98">
        <f>I676-G676</f>
        <v>50000</v>
      </c>
      <c r="I676" s="244">
        <v>50000</v>
      </c>
      <c r="J676" s="965">
        <v>50000</v>
      </c>
      <c r="K676" s="681"/>
    </row>
    <row r="677" spans="1:11" s="19" customFormat="1" ht="18" thickBot="1">
      <c r="A677" s="193"/>
      <c r="B677" s="141" t="s">
        <v>94</v>
      </c>
      <c r="C677" s="192"/>
      <c r="D677" s="143"/>
      <c r="E677" s="195"/>
      <c r="F677" s="94">
        <f>SUM(F676:F676)</f>
        <v>0</v>
      </c>
      <c r="G677" s="94">
        <f>SUM(G676:G676)</f>
        <v>0</v>
      </c>
      <c r="H677" s="94">
        <f>SUM(H676:H676)</f>
        <v>50000</v>
      </c>
      <c r="I677" s="94">
        <f>SUM(I676:I676)</f>
        <v>50000</v>
      </c>
      <c r="J677" s="94">
        <f>SUM(J676:J676)</f>
        <v>50000</v>
      </c>
      <c r="K677" s="681"/>
    </row>
    <row r="678" spans="1:11" s="18" customFormat="1" ht="25.5" customHeight="1" thickBot="1">
      <c r="A678" s="196" t="s">
        <v>95</v>
      </c>
      <c r="B678" s="197"/>
      <c r="C678" s="198"/>
      <c r="D678" s="150"/>
      <c r="E678" s="199"/>
      <c r="F678" s="158">
        <f>F677+F674+F665</f>
        <v>2341839.5999999996</v>
      </c>
      <c r="G678" s="158">
        <f>G677+G674+G665</f>
        <v>1223851.39</v>
      </c>
      <c r="H678" s="158">
        <f>H674+H665+H677</f>
        <v>1997162.9300000002</v>
      </c>
      <c r="I678" s="158">
        <f>I677+I674+I665</f>
        <v>3332617.48</v>
      </c>
      <c r="J678" s="85">
        <f>J677+J674+J665</f>
        <v>3146594.83</v>
      </c>
      <c r="K678" s="682"/>
    </row>
    <row r="679" spans="1:11" s="18" customFormat="1" ht="21" customHeight="1" thickBot="1">
      <c r="A679" s="200" t="s">
        <v>150</v>
      </c>
      <c r="B679" s="201"/>
      <c r="C679" s="201"/>
      <c r="D679" s="202"/>
      <c r="E679" s="203"/>
      <c r="F679" s="85">
        <f>+F646-F678</f>
        <v>645462.7600000002</v>
      </c>
      <c r="G679" s="85">
        <f>+G646-G678</f>
        <v>-464308.5199999999</v>
      </c>
      <c r="H679" s="85">
        <f>H646-H678</f>
        <v>578294.1999999997</v>
      </c>
      <c r="I679" s="85">
        <f>I646-I678</f>
        <v>2382.5200000000186</v>
      </c>
      <c r="J679" s="966">
        <f>+J646-J678</f>
        <v>3405.1699999999255</v>
      </c>
      <c r="K679" s="682"/>
    </row>
    <row r="680" spans="1:11" s="18" customFormat="1" ht="17.25" customHeight="1">
      <c r="A680" s="97"/>
      <c r="B680" s="100"/>
      <c r="C680" s="100"/>
      <c r="D680" s="90"/>
      <c r="E680" s="90"/>
      <c r="F680" s="204"/>
      <c r="G680" s="204"/>
      <c r="H680" s="204"/>
      <c r="I680" s="204"/>
      <c r="J680" s="967"/>
      <c r="K680" s="682"/>
    </row>
    <row r="681" spans="1:11" s="241" customFormat="1" ht="17.25">
      <c r="A681" s="104" t="s">
        <v>151</v>
      </c>
      <c r="B681" s="105"/>
      <c r="C681" s="105"/>
      <c r="D681" s="106"/>
      <c r="E681" s="106"/>
      <c r="F681" s="106"/>
      <c r="G681" s="106"/>
      <c r="H681" s="106"/>
      <c r="I681" s="106"/>
      <c r="J681" s="89"/>
      <c r="K681" s="680"/>
    </row>
    <row r="682" spans="1:11" s="241" customFormat="1" ht="17.25">
      <c r="A682" s="104"/>
      <c r="B682" s="105"/>
      <c r="C682" s="105"/>
      <c r="D682" s="106"/>
      <c r="E682" s="106"/>
      <c r="F682" s="106"/>
      <c r="G682" s="106"/>
      <c r="H682" s="106"/>
      <c r="I682" s="106"/>
      <c r="J682" s="89"/>
      <c r="K682" s="680"/>
    </row>
    <row r="683" spans="1:11" s="241" customFormat="1" ht="17.25">
      <c r="A683" s="104"/>
      <c r="B683" s="105"/>
      <c r="C683" s="105"/>
      <c r="D683" s="106"/>
      <c r="E683" s="106"/>
      <c r="F683" s="106"/>
      <c r="G683" s="106"/>
      <c r="H683" s="106"/>
      <c r="I683" s="106"/>
      <c r="J683" s="89"/>
      <c r="K683" s="680"/>
    </row>
    <row r="684" spans="1:11" s="241" customFormat="1" ht="17.25">
      <c r="A684" s="104"/>
      <c r="B684" s="105"/>
      <c r="C684" s="105"/>
      <c r="D684" s="106"/>
      <c r="E684" s="106"/>
      <c r="F684" s="106"/>
      <c r="G684" s="106"/>
      <c r="H684" s="106"/>
      <c r="I684" s="106"/>
      <c r="J684" s="89"/>
      <c r="K684" s="680"/>
    </row>
    <row r="685" spans="1:11" s="19" customFormat="1" ht="22.5">
      <c r="A685" s="1049" t="s">
        <v>165</v>
      </c>
      <c r="B685" s="1050"/>
      <c r="C685" s="1050"/>
      <c r="D685" s="1050"/>
      <c r="E685" s="251"/>
      <c r="F685" s="709"/>
      <c r="G685" s="1050" t="s">
        <v>166</v>
      </c>
      <c r="H685" s="1050"/>
      <c r="I685" s="1050"/>
      <c r="J685" s="1051"/>
      <c r="K685" s="681"/>
    </row>
    <row r="686" spans="1:11" s="19" customFormat="1" ht="17.25">
      <c r="A686" s="1044" t="s">
        <v>173</v>
      </c>
      <c r="B686" s="1032"/>
      <c r="C686" s="1032"/>
      <c r="D686" s="34"/>
      <c r="E686" s="34"/>
      <c r="F686" s="712"/>
      <c r="G686" s="1032" t="s">
        <v>174</v>
      </c>
      <c r="H686" s="1032"/>
      <c r="I686" s="1032"/>
      <c r="J686" s="1033"/>
      <c r="K686" s="681"/>
    </row>
    <row r="687" spans="1:11" s="19" customFormat="1" ht="12.75">
      <c r="A687" s="205"/>
      <c r="B687" s="257"/>
      <c r="C687" s="257"/>
      <c r="D687" s="257"/>
      <c r="E687" s="257"/>
      <c r="F687" s="713"/>
      <c r="G687" s="257"/>
      <c r="H687" s="163"/>
      <c r="I687" s="163"/>
      <c r="J687" s="963"/>
      <c r="K687" s="681"/>
    </row>
    <row r="688" spans="1:11" s="19" customFormat="1" ht="12.75">
      <c r="A688" s="205"/>
      <c r="B688" s="257"/>
      <c r="C688" s="257"/>
      <c r="D688" s="257"/>
      <c r="E688" s="257"/>
      <c r="F688" s="713"/>
      <c r="G688" s="257"/>
      <c r="H688" s="163"/>
      <c r="I688" s="163"/>
      <c r="J688" s="963"/>
      <c r="K688" s="681"/>
    </row>
    <row r="689" spans="1:11" s="19" customFormat="1" ht="12.75">
      <c r="A689" s="205"/>
      <c r="B689" s="257"/>
      <c r="C689" s="257"/>
      <c r="D689" s="257"/>
      <c r="E689" s="257"/>
      <c r="F689" s="713"/>
      <c r="G689" s="257"/>
      <c r="H689" s="163"/>
      <c r="I689" s="163"/>
      <c r="J689" s="963"/>
      <c r="K689" s="681"/>
    </row>
    <row r="690" spans="1:11" s="19" customFormat="1" ht="12.75">
      <c r="A690" s="95"/>
      <c r="B690" s="162"/>
      <c r="C690" s="162"/>
      <c r="D690" s="162"/>
      <c r="E690" s="162"/>
      <c r="F690" s="1048"/>
      <c r="G690" s="1048"/>
      <c r="H690" s="163"/>
      <c r="I690" s="163"/>
      <c r="J690" s="963"/>
      <c r="K690" s="681"/>
    </row>
    <row r="691" spans="1:11" s="19" customFormat="1" ht="22.5">
      <c r="A691" s="1049" t="str">
        <f>A605</f>
        <v>JANE B. LARIOSA</v>
      </c>
      <c r="B691" s="1050"/>
      <c r="C691" s="1050"/>
      <c r="D691" s="1050"/>
      <c r="E691" s="251"/>
      <c r="F691" s="709"/>
      <c r="G691" s="1050" t="s">
        <v>624</v>
      </c>
      <c r="H691" s="1050"/>
      <c r="I691" s="1050"/>
      <c r="J691" s="1051"/>
      <c r="K691" s="681"/>
    </row>
    <row r="692" spans="1:11" s="19" customFormat="1" ht="16.5" customHeight="1">
      <c r="A692" s="1028" t="s">
        <v>686</v>
      </c>
      <c r="B692" s="1029"/>
      <c r="C692" s="1029"/>
      <c r="D692" s="259"/>
      <c r="E692" s="259"/>
      <c r="F692" s="712"/>
      <c r="G692" s="1032" t="s">
        <v>154</v>
      </c>
      <c r="H692" s="1032"/>
      <c r="I692" s="1032"/>
      <c r="J692" s="1033"/>
      <c r="K692" s="681"/>
    </row>
    <row r="693" spans="1:11" s="19" customFormat="1" ht="14.25" customHeight="1">
      <c r="A693" s="165"/>
      <c r="B693" s="162"/>
      <c r="C693" s="42"/>
      <c r="D693" s="42"/>
      <c r="E693" s="42"/>
      <c r="F693" s="42"/>
      <c r="G693" s="42"/>
      <c r="H693" s="34"/>
      <c r="I693" s="163"/>
      <c r="J693" s="963"/>
      <c r="K693" s="681"/>
    </row>
    <row r="694" spans="1:11" s="19" customFormat="1" ht="12.75">
      <c r="A694" s="95"/>
      <c r="B694" s="163"/>
      <c r="C694" s="163"/>
      <c r="D694" s="163"/>
      <c r="E694" s="163"/>
      <c r="F694" s="163"/>
      <c r="G694" s="163"/>
      <c r="H694" s="163"/>
      <c r="I694" s="163"/>
      <c r="J694" s="963"/>
      <c r="K694" s="681"/>
    </row>
    <row r="695" spans="1:11" s="19" customFormat="1" ht="20.25">
      <c r="A695" s="107" t="s">
        <v>270</v>
      </c>
      <c r="B695" s="75"/>
      <c r="C695" s="253"/>
      <c r="D695" s="253"/>
      <c r="E695" s="253"/>
      <c r="F695" s="716"/>
      <c r="G695" s="253"/>
      <c r="H695" s="75"/>
      <c r="I695" s="75"/>
      <c r="J695" s="60"/>
      <c r="K695" s="681"/>
    </row>
    <row r="696" spans="1:11" s="19" customFormat="1" ht="17.25">
      <c r="A696" s="61"/>
      <c r="B696" s="75"/>
      <c r="C696" s="253"/>
      <c r="D696" s="253"/>
      <c r="E696" s="253"/>
      <c r="F696" s="716"/>
      <c r="G696" s="253"/>
      <c r="H696" s="75"/>
      <c r="I696" s="75"/>
      <c r="J696" s="60"/>
      <c r="K696" s="681"/>
    </row>
    <row r="697" spans="1:11" s="19" customFormat="1" ht="17.25">
      <c r="A697" s="61"/>
      <c r="B697" s="75"/>
      <c r="C697" s="253"/>
      <c r="D697" s="253"/>
      <c r="E697" s="253"/>
      <c r="F697" s="716"/>
      <c r="G697" s="253"/>
      <c r="H697" s="75"/>
      <c r="I697" s="75"/>
      <c r="J697" s="60"/>
      <c r="K697" s="681"/>
    </row>
    <row r="698" spans="1:11" s="19" customFormat="1" ht="17.25">
      <c r="A698" s="61"/>
      <c r="B698" s="75"/>
      <c r="C698" s="75"/>
      <c r="D698" s="108"/>
      <c r="E698" s="108"/>
      <c r="F698" s="75"/>
      <c r="G698" s="75"/>
      <c r="H698" s="75"/>
      <c r="I698" s="75"/>
      <c r="J698" s="60"/>
      <c r="K698" s="681"/>
    </row>
    <row r="699" spans="1:11" s="19" customFormat="1" ht="24">
      <c r="A699" s="1069" t="str">
        <f>A611</f>
        <v>WILLIAM E. CALVEZ, CE</v>
      </c>
      <c r="B699" s="1070"/>
      <c r="C699" s="1070"/>
      <c r="D699" s="1070"/>
      <c r="E699" s="1070"/>
      <c r="F699" s="1070"/>
      <c r="G699" s="1070"/>
      <c r="H699" s="1070"/>
      <c r="I699" s="1070"/>
      <c r="J699" s="1071"/>
      <c r="K699" s="681"/>
    </row>
    <row r="700" spans="1:11" s="19" customFormat="1" ht="17.25">
      <c r="A700" s="1072" t="s">
        <v>155</v>
      </c>
      <c r="B700" s="1073"/>
      <c r="C700" s="1073"/>
      <c r="D700" s="1073"/>
      <c r="E700" s="1073"/>
      <c r="F700" s="1073"/>
      <c r="G700" s="1073"/>
      <c r="H700" s="1073"/>
      <c r="I700" s="1073"/>
      <c r="J700" s="1074"/>
      <c r="K700" s="681"/>
    </row>
    <row r="701" spans="1:11" s="19" customFormat="1" ht="12.75">
      <c r="A701" s="167"/>
      <c r="B701" s="30"/>
      <c r="C701" s="30"/>
      <c r="D701" s="30"/>
      <c r="E701" s="30"/>
      <c r="F701" s="30"/>
      <c r="G701" s="30"/>
      <c r="H701" s="30"/>
      <c r="I701" s="30"/>
      <c r="J701" s="925"/>
      <c r="K701" s="681"/>
    </row>
    <row r="702" spans="1:11" s="19" customFormat="1" ht="12.75">
      <c r="A702" s="90"/>
      <c r="B702" s="90"/>
      <c r="C702" s="90"/>
      <c r="D702" s="109"/>
      <c r="E702" s="109"/>
      <c r="F702" s="109"/>
      <c r="G702" s="90"/>
      <c r="H702" s="90"/>
      <c r="I702" s="90"/>
      <c r="J702" s="90"/>
      <c r="K702" s="681"/>
    </row>
    <row r="703" spans="1:11" s="19" customFormat="1" ht="12.75">
      <c r="A703" s="90"/>
      <c r="B703" s="90"/>
      <c r="C703" s="90"/>
      <c r="D703" s="109"/>
      <c r="E703" s="109"/>
      <c r="F703" s="109"/>
      <c r="G703" s="90"/>
      <c r="H703" s="90"/>
      <c r="I703" s="90"/>
      <c r="J703" s="90"/>
      <c r="K703" s="681"/>
    </row>
    <row r="704" spans="1:11" s="19" customFormat="1" ht="12.75">
      <c r="A704" s="25"/>
      <c r="B704" s="25"/>
      <c r="C704" s="109"/>
      <c r="D704" s="109"/>
      <c r="E704" s="109"/>
      <c r="F704" s="109"/>
      <c r="G704" s="109"/>
      <c r="H704" s="109"/>
      <c r="I704" s="109"/>
      <c r="J704" s="109"/>
      <c r="K704" s="681"/>
    </row>
    <row r="705" spans="1:11" s="19" customFormat="1" ht="12.75">
      <c r="A705" s="25"/>
      <c r="B705" s="25"/>
      <c r="C705" s="109"/>
      <c r="D705" s="109"/>
      <c r="E705" s="109"/>
      <c r="F705" s="109"/>
      <c r="G705" s="109"/>
      <c r="H705" s="109"/>
      <c r="I705" s="109"/>
      <c r="J705" s="109"/>
      <c r="K705" s="681"/>
    </row>
    <row r="706" spans="1:11" s="19" customFormat="1" ht="12.75">
      <c r="A706" s="25"/>
      <c r="B706" s="25"/>
      <c r="C706" s="109"/>
      <c r="D706" s="109"/>
      <c r="E706" s="109"/>
      <c r="F706" s="109"/>
      <c r="G706" s="109"/>
      <c r="H706" s="109"/>
      <c r="I706" s="109"/>
      <c r="J706" s="109"/>
      <c r="K706" s="681"/>
    </row>
    <row r="707" spans="1:11" s="19" customFormat="1" ht="12.75">
      <c r="A707" s="25"/>
      <c r="B707" s="25"/>
      <c r="C707" s="109"/>
      <c r="D707" s="109"/>
      <c r="E707" s="109"/>
      <c r="F707" s="109"/>
      <c r="G707" s="109"/>
      <c r="H707" s="109"/>
      <c r="I707" s="109"/>
      <c r="J707" s="109"/>
      <c r="K707" s="681"/>
    </row>
    <row r="708" spans="1:11" s="19" customFormat="1" ht="12.75">
      <c r="A708" s="25"/>
      <c r="B708" s="25"/>
      <c r="C708" s="109"/>
      <c r="D708" s="109"/>
      <c r="E708" s="109"/>
      <c r="F708" s="109"/>
      <c r="G708" s="109"/>
      <c r="H708" s="109"/>
      <c r="I708" s="109"/>
      <c r="J708" s="109"/>
      <c r="K708" s="681"/>
    </row>
    <row r="709" spans="1:11" s="19" customFormat="1" ht="12.75">
      <c r="A709" s="25"/>
      <c r="B709" s="25"/>
      <c r="C709" s="109"/>
      <c r="D709" s="109"/>
      <c r="E709" s="109"/>
      <c r="F709" s="109"/>
      <c r="G709" s="109"/>
      <c r="H709" s="109"/>
      <c r="I709" s="109"/>
      <c r="J709" s="109"/>
      <c r="K709" s="681"/>
    </row>
    <row r="710" spans="1:11" s="19" customFormat="1" ht="12.75">
      <c r="A710" s="25"/>
      <c r="B710" s="25"/>
      <c r="C710" s="109"/>
      <c r="D710" s="109"/>
      <c r="E710" s="109"/>
      <c r="F710" s="109"/>
      <c r="G710" s="109"/>
      <c r="H710" s="109"/>
      <c r="I710" s="109"/>
      <c r="J710" s="109"/>
      <c r="K710" s="681"/>
    </row>
    <row r="711" spans="1:11" s="19" customFormat="1" ht="17.25">
      <c r="A711" s="92" t="str">
        <f>A524</f>
        <v>LBP Form No. 1</v>
      </c>
      <c r="B711" s="22"/>
      <c r="C711" s="22"/>
      <c r="D711" s="22"/>
      <c r="E711" s="22"/>
      <c r="F711" s="22"/>
      <c r="G711" s="23"/>
      <c r="H711" s="23"/>
      <c r="I711" s="23"/>
      <c r="J711" s="261"/>
      <c r="K711" s="681"/>
    </row>
    <row r="712" spans="1:11" s="19" customFormat="1" ht="17.25">
      <c r="A712" s="233"/>
      <c r="B712" s="234"/>
      <c r="C712" s="234"/>
      <c r="D712" s="234"/>
      <c r="E712" s="234"/>
      <c r="F712" s="718"/>
      <c r="G712" s="234"/>
      <c r="H712" s="234"/>
      <c r="I712" s="403"/>
      <c r="J712" s="924"/>
      <c r="K712" s="681"/>
    </row>
    <row r="713" spans="1:11" s="19" customFormat="1" ht="22.5">
      <c r="A713" s="1049" t="str">
        <f>A4</f>
        <v>BUDGET OF EXPENDITURES AND SOURCE OF FINANCING</v>
      </c>
      <c r="B713" s="1050"/>
      <c r="C713" s="1050"/>
      <c r="D713" s="1050"/>
      <c r="E713" s="1050"/>
      <c r="F713" s="1050"/>
      <c r="G713" s="1050"/>
      <c r="H713" s="1050"/>
      <c r="I713" s="1050"/>
      <c r="J713" s="1051"/>
      <c r="K713" s="681"/>
    </row>
    <row r="714" spans="1:11" s="19" customFormat="1" ht="20.25">
      <c r="A714" s="1052" t="str">
        <f>A5</f>
        <v>Municipality of Trento</v>
      </c>
      <c r="B714" s="1053"/>
      <c r="C714" s="1053"/>
      <c r="D714" s="1053"/>
      <c r="E714" s="1053"/>
      <c r="F714" s="1053"/>
      <c r="G714" s="1053"/>
      <c r="H714" s="1053"/>
      <c r="I714" s="1053"/>
      <c r="J714" s="1054"/>
      <c r="K714" s="681"/>
    </row>
    <row r="715" spans="1:11" s="19" customFormat="1" ht="20.25">
      <c r="A715" s="1034" t="s">
        <v>175</v>
      </c>
      <c r="B715" s="1030"/>
      <c r="C715" s="1030"/>
      <c r="D715" s="1030"/>
      <c r="E715" s="1030"/>
      <c r="F715" s="1030"/>
      <c r="G715" s="1030"/>
      <c r="H715" s="1030"/>
      <c r="I715" s="1030"/>
      <c r="J715" s="1031"/>
      <c r="K715" s="681"/>
    </row>
    <row r="716" spans="1:11" s="19" customFormat="1" ht="15">
      <c r="A716" s="206"/>
      <c r="B716" s="207"/>
      <c r="C716" s="29"/>
      <c r="D716" s="30"/>
      <c r="E716" s="30"/>
      <c r="F716" s="30"/>
      <c r="G716" s="30"/>
      <c r="H716" s="30"/>
      <c r="I716" s="30"/>
      <c r="J716" s="925"/>
      <c r="K716" s="681"/>
    </row>
    <row r="717" spans="1:11" s="19" customFormat="1" ht="20.25">
      <c r="A717" s="33"/>
      <c r="B717" s="34"/>
      <c r="C717" s="41"/>
      <c r="D717" s="31"/>
      <c r="E717" s="114"/>
      <c r="F717" s="39"/>
      <c r="G717" s="1035" t="s">
        <v>4</v>
      </c>
      <c r="H717" s="1036"/>
      <c r="I717" s="1036"/>
      <c r="J717" s="666"/>
      <c r="K717" s="681"/>
    </row>
    <row r="718" spans="1:11" s="19" customFormat="1" ht="17.25">
      <c r="A718" s="33"/>
      <c r="B718" s="34"/>
      <c r="C718" s="34"/>
      <c r="D718" s="115" t="s">
        <v>5</v>
      </c>
      <c r="E718" s="40" t="s">
        <v>6</v>
      </c>
      <c r="F718" s="717" t="s">
        <v>7</v>
      </c>
      <c r="G718" s="254" t="s">
        <v>8</v>
      </c>
      <c r="H718" s="37" t="s">
        <v>9</v>
      </c>
      <c r="I718" s="402"/>
      <c r="J718" s="37" t="s">
        <v>10</v>
      </c>
      <c r="K718" s="681"/>
    </row>
    <row r="719" spans="1:11" s="19" customFormat="1" ht="20.25">
      <c r="A719" s="1034" t="s">
        <v>11</v>
      </c>
      <c r="B719" s="1030"/>
      <c r="C719" s="1031"/>
      <c r="D719" s="31" t="s">
        <v>12</v>
      </c>
      <c r="E719" s="39" t="s">
        <v>13</v>
      </c>
      <c r="F719" s="39" t="s">
        <v>14</v>
      </c>
      <c r="G719" s="40" t="s">
        <v>14</v>
      </c>
      <c r="H719" s="39" t="s">
        <v>15</v>
      </c>
      <c r="I719" s="402" t="s">
        <v>1</v>
      </c>
      <c r="J719" s="40">
        <v>2021</v>
      </c>
      <c r="K719" s="681"/>
    </row>
    <row r="720" spans="1:11" s="19" customFormat="1" ht="15">
      <c r="A720" s="33"/>
      <c r="B720" s="34"/>
      <c r="C720" s="41"/>
      <c r="D720" s="109"/>
      <c r="E720" s="40"/>
      <c r="F720" s="39">
        <v>2019</v>
      </c>
      <c r="G720" s="39">
        <v>2020</v>
      </c>
      <c r="H720" s="39">
        <f>G720</f>
        <v>2020</v>
      </c>
      <c r="I720" s="39">
        <f>H720</f>
        <v>2020</v>
      </c>
      <c r="J720" s="40"/>
      <c r="K720" s="681"/>
    </row>
    <row r="721" spans="1:11" s="19" customFormat="1" ht="15">
      <c r="A721" s="1037">
        <v>-1</v>
      </c>
      <c r="B721" s="1038"/>
      <c r="C721" s="1039"/>
      <c r="D721" s="119">
        <v>-2</v>
      </c>
      <c r="E721" s="252">
        <v>-3</v>
      </c>
      <c r="F721" s="711">
        <v>-4</v>
      </c>
      <c r="G721" s="43">
        <v>-5</v>
      </c>
      <c r="H721" s="43">
        <v>-6</v>
      </c>
      <c r="I721" s="401">
        <v>-7</v>
      </c>
      <c r="J721" s="43">
        <v>-8</v>
      </c>
      <c r="K721" s="681"/>
    </row>
    <row r="722" spans="1:11" s="19" customFormat="1" ht="20.25">
      <c r="A722" s="172" t="s">
        <v>16</v>
      </c>
      <c r="B722" s="173"/>
      <c r="C722" s="174"/>
      <c r="D722" s="120"/>
      <c r="E722" s="121"/>
      <c r="F722" s="342"/>
      <c r="G722" s="122"/>
      <c r="H722" s="208"/>
      <c r="I722" s="122"/>
      <c r="J722" s="956"/>
      <c r="K722" s="681"/>
    </row>
    <row r="723" spans="1:11" s="19" customFormat="1" ht="20.25">
      <c r="A723" s="176" t="s">
        <v>18</v>
      </c>
      <c r="B723" s="177"/>
      <c r="C723" s="178"/>
      <c r="D723" s="24"/>
      <c r="E723" s="124"/>
      <c r="F723" s="60"/>
      <c r="G723" s="56"/>
      <c r="H723" s="128"/>
      <c r="I723" s="57"/>
      <c r="J723" s="957"/>
      <c r="K723" s="681"/>
    </row>
    <row r="724" spans="1:11" s="19" customFormat="1" ht="20.25">
      <c r="A724" s="176" t="s">
        <v>19</v>
      </c>
      <c r="B724" s="177"/>
      <c r="C724" s="177"/>
      <c r="D724" s="24"/>
      <c r="E724" s="124"/>
      <c r="F724" s="60"/>
      <c r="G724" s="56"/>
      <c r="H724" s="128"/>
      <c r="I724" s="57"/>
      <c r="J724" s="957"/>
      <c r="K724" s="681"/>
    </row>
    <row r="725" spans="1:11" s="19" customFormat="1" ht="20.25">
      <c r="A725" s="180" t="s">
        <v>20</v>
      </c>
      <c r="B725" s="181"/>
      <c r="C725" s="103"/>
      <c r="D725" s="24"/>
      <c r="E725" s="124"/>
      <c r="F725" s="60"/>
      <c r="G725" s="60"/>
      <c r="H725" s="75"/>
      <c r="I725" s="55"/>
      <c r="J725" s="957"/>
      <c r="K725" s="681"/>
    </row>
    <row r="726" spans="1:11" s="19" customFormat="1" ht="20.25">
      <c r="A726" s="182" t="s">
        <v>25</v>
      </c>
      <c r="B726" s="181"/>
      <c r="C726" s="103"/>
      <c r="D726" s="115"/>
      <c r="E726" s="125"/>
      <c r="F726" s="69"/>
      <c r="G726" s="62"/>
      <c r="H726" s="70"/>
      <c r="I726" s="62"/>
      <c r="J726" s="126"/>
      <c r="K726" s="681"/>
    </row>
    <row r="727" spans="1:11" s="19" customFormat="1" ht="20.25">
      <c r="A727" s="182" t="s">
        <v>26</v>
      </c>
      <c r="B727" s="181"/>
      <c r="C727" s="103"/>
      <c r="D727" s="115"/>
      <c r="E727" s="125"/>
      <c r="F727" s="69"/>
      <c r="G727" s="62"/>
      <c r="H727" s="70"/>
      <c r="I727" s="62"/>
      <c r="J727" s="126"/>
      <c r="K727" s="681"/>
    </row>
    <row r="728" spans="1:11" s="19" customFormat="1" ht="20.25">
      <c r="A728" s="182" t="s">
        <v>30</v>
      </c>
      <c r="B728" s="181"/>
      <c r="C728" s="103"/>
      <c r="D728" s="115"/>
      <c r="E728" s="125"/>
      <c r="F728" s="62">
        <v>1759655.69</v>
      </c>
      <c r="G728" s="62">
        <v>728049.62</v>
      </c>
      <c r="H728" s="70">
        <f>I728-G728</f>
        <v>2586950.38</v>
      </c>
      <c r="I728" s="126">
        <v>3315000</v>
      </c>
      <c r="J728" s="126">
        <v>3820000</v>
      </c>
      <c r="K728" s="681"/>
    </row>
    <row r="729" spans="1:11" s="19" customFormat="1" ht="20.25">
      <c r="A729" s="182" t="s">
        <v>31</v>
      </c>
      <c r="B729" s="181"/>
      <c r="C729" s="99"/>
      <c r="D729" s="93"/>
      <c r="E729" s="129"/>
      <c r="F729" s="57"/>
      <c r="G729" s="57"/>
      <c r="H729" s="184"/>
      <c r="I729" s="57"/>
      <c r="J729" s="127"/>
      <c r="K729" s="681"/>
    </row>
    <row r="730" spans="1:11" s="19" customFormat="1" ht="20.25">
      <c r="A730" s="185" t="s">
        <v>32</v>
      </c>
      <c r="B730" s="186"/>
      <c r="C730" s="103"/>
      <c r="D730" s="115"/>
      <c r="E730" s="125"/>
      <c r="F730" s="57">
        <f>F728</f>
        <v>1759655.69</v>
      </c>
      <c r="G730" s="57">
        <f>G728</f>
        <v>728049.62</v>
      </c>
      <c r="H730" s="128">
        <f>I730-G730</f>
        <v>2586950.38</v>
      </c>
      <c r="I730" s="57">
        <f>SUM(I728:I729)</f>
        <v>3315000</v>
      </c>
      <c r="J730" s="127">
        <f>SUM(J728:J729)</f>
        <v>3820000</v>
      </c>
      <c r="K730" s="681"/>
    </row>
    <row r="731" spans="1:11" s="19" customFormat="1" ht="20.25">
      <c r="A731" s="182"/>
      <c r="B731" s="181"/>
      <c r="C731" s="103"/>
      <c r="D731" s="115"/>
      <c r="E731" s="125"/>
      <c r="F731" s="716"/>
      <c r="G731" s="62"/>
      <c r="H731" s="77"/>
      <c r="I731" s="62"/>
      <c r="J731" s="958"/>
      <c r="K731" s="681"/>
    </row>
    <row r="732" spans="1:11" s="19" customFormat="1" ht="20.25">
      <c r="A732" s="176" t="s">
        <v>33</v>
      </c>
      <c r="B732" s="181"/>
      <c r="C732" s="103"/>
      <c r="D732" s="115"/>
      <c r="E732" s="125"/>
      <c r="F732" s="716"/>
      <c r="G732" s="62"/>
      <c r="H732" s="77"/>
      <c r="I732" s="62"/>
      <c r="J732" s="958"/>
      <c r="K732" s="681"/>
    </row>
    <row r="733" spans="1:11" s="19" customFormat="1" ht="20.25">
      <c r="A733" s="187" t="s">
        <v>157</v>
      </c>
      <c r="B733" s="103"/>
      <c r="C733" s="103"/>
      <c r="D733" s="115"/>
      <c r="E733" s="125"/>
      <c r="F733" s="716"/>
      <c r="G733" s="62"/>
      <c r="H733" s="77"/>
      <c r="I733" s="62"/>
      <c r="J733" s="958"/>
      <c r="K733" s="681"/>
    </row>
    <row r="734" spans="1:11" s="19" customFormat="1" ht="20.25">
      <c r="A734" s="187" t="s">
        <v>40</v>
      </c>
      <c r="B734" s="103"/>
      <c r="C734" s="103"/>
      <c r="D734" s="115"/>
      <c r="E734" s="125"/>
      <c r="F734" s="716"/>
      <c r="G734" s="62"/>
      <c r="H734" s="77"/>
      <c r="I734" s="62"/>
      <c r="J734" s="958"/>
      <c r="K734" s="681"/>
    </row>
    <row r="735" spans="1:11" s="19" customFormat="1" ht="20.25">
      <c r="A735" s="187" t="s">
        <v>41</v>
      </c>
      <c r="B735" s="103"/>
      <c r="C735" s="103"/>
      <c r="D735" s="115"/>
      <c r="E735" s="125"/>
      <c r="F735" s="716"/>
      <c r="G735" s="62"/>
      <c r="H735" s="128"/>
      <c r="I735" s="57"/>
      <c r="J735" s="126"/>
      <c r="K735" s="681"/>
    </row>
    <row r="736" spans="1:11" s="19" customFormat="1" ht="20.25">
      <c r="A736" s="187" t="s">
        <v>158</v>
      </c>
      <c r="B736" s="103"/>
      <c r="C736" s="103"/>
      <c r="D736" s="115"/>
      <c r="E736" s="125"/>
      <c r="F736" s="716"/>
      <c r="G736" s="62"/>
      <c r="H736" s="77"/>
      <c r="I736" s="62"/>
      <c r="J736" s="958"/>
      <c r="K736" s="681"/>
    </row>
    <row r="737" spans="1:11" s="19" customFormat="1" ht="20.25">
      <c r="A737" s="187" t="s">
        <v>43</v>
      </c>
      <c r="B737" s="103"/>
      <c r="C737" s="99"/>
      <c r="D737" s="93"/>
      <c r="E737" s="129"/>
      <c r="F737" s="106"/>
      <c r="G737" s="62"/>
      <c r="H737" s="128"/>
      <c r="I737" s="57"/>
      <c r="J737" s="959">
        <v>0</v>
      </c>
      <c r="K737" s="681"/>
    </row>
    <row r="738" spans="1:11" s="19" customFormat="1" ht="20.25">
      <c r="A738" s="187" t="s">
        <v>44</v>
      </c>
      <c r="B738" s="103"/>
      <c r="C738" s="103"/>
      <c r="D738" s="115"/>
      <c r="E738" s="125"/>
      <c r="F738" s="69"/>
      <c r="G738" s="62"/>
      <c r="H738" s="70"/>
      <c r="I738" s="62">
        <v>0</v>
      </c>
      <c r="J738" s="958">
        <v>0</v>
      </c>
      <c r="K738" s="681"/>
    </row>
    <row r="739" spans="1:11" s="19" customFormat="1" ht="20.25">
      <c r="A739" s="176"/>
      <c r="B739" s="177"/>
      <c r="C739" s="177"/>
      <c r="D739" s="115"/>
      <c r="E739" s="125"/>
      <c r="F739" s="716"/>
      <c r="G739" s="62"/>
      <c r="H739" s="77"/>
      <c r="I739" s="62"/>
      <c r="J739" s="958"/>
      <c r="K739" s="681"/>
    </row>
    <row r="740" spans="1:11" s="19" customFormat="1" ht="20.25">
      <c r="A740" s="182" t="s">
        <v>48</v>
      </c>
      <c r="B740" s="103"/>
      <c r="C740" s="189"/>
      <c r="D740" s="109"/>
      <c r="E740" s="125"/>
      <c r="F740" s="717"/>
      <c r="G740" s="62"/>
      <c r="H740" s="77"/>
      <c r="I740" s="62"/>
      <c r="J740" s="958"/>
      <c r="K740" s="681"/>
    </row>
    <row r="741" spans="1:11" s="19" customFormat="1" ht="20.25">
      <c r="A741" s="182"/>
      <c r="B741" s="103"/>
      <c r="C741" s="189"/>
      <c r="D741" s="109"/>
      <c r="E741" s="125"/>
      <c r="F741" s="716"/>
      <c r="G741" s="62"/>
      <c r="H741" s="77"/>
      <c r="I741" s="62"/>
      <c r="J741" s="958"/>
      <c r="K741" s="681"/>
    </row>
    <row r="742" spans="1:11" s="19" customFormat="1" ht="20.25">
      <c r="A742" s="185" t="s">
        <v>49</v>
      </c>
      <c r="B742" s="99"/>
      <c r="C742" s="189"/>
      <c r="D742" s="109"/>
      <c r="E742" s="209"/>
      <c r="F742" s="210">
        <f>SUM(F730:F741)</f>
        <v>1759655.69</v>
      </c>
      <c r="G742" s="68">
        <f>+G730+G738</f>
        <v>728049.62</v>
      </c>
      <c r="H742" s="211">
        <f>SUM(H730:H741)</f>
        <v>2586950.38</v>
      </c>
      <c r="I742" s="68">
        <f>+I730+I738</f>
        <v>3315000</v>
      </c>
      <c r="J742" s="968">
        <f>SUM(J730:J741)</f>
        <v>3820000</v>
      </c>
      <c r="K742" s="681"/>
    </row>
    <row r="743" spans="1:11" s="19" customFormat="1" ht="20.25">
      <c r="A743" s="182"/>
      <c r="B743" s="103"/>
      <c r="C743" s="189"/>
      <c r="D743" s="109"/>
      <c r="E743" s="125"/>
      <c r="F743" s="716"/>
      <c r="G743" s="62"/>
      <c r="H743" s="77"/>
      <c r="I743" s="62"/>
      <c r="J743" s="958"/>
      <c r="K743" s="681"/>
    </row>
    <row r="744" spans="1:11" s="19" customFormat="1" ht="20.25">
      <c r="A744" s="182"/>
      <c r="B744" s="103"/>
      <c r="C744" s="189"/>
      <c r="D744" s="109"/>
      <c r="E744" s="125"/>
      <c r="F744" s="717"/>
      <c r="G744" s="77"/>
      <c r="H744" s="70"/>
      <c r="I744" s="62"/>
      <c r="J744" s="958"/>
      <c r="K744" s="681"/>
    </row>
    <row r="745" spans="1:11" s="19" customFormat="1" ht="20.25">
      <c r="A745" s="101" t="s">
        <v>51</v>
      </c>
      <c r="B745" s="99"/>
      <c r="C745" s="212"/>
      <c r="D745" s="109"/>
      <c r="E745" s="125"/>
      <c r="F745" s="717"/>
      <c r="G745" s="77"/>
      <c r="H745" s="61"/>
      <c r="I745" s="55"/>
      <c r="J745" s="957"/>
      <c r="K745" s="681"/>
    </row>
    <row r="746" spans="1:11" s="19" customFormat="1" ht="20.25">
      <c r="A746" s="101"/>
      <c r="B746" s="99" t="s">
        <v>159</v>
      </c>
      <c r="C746" s="212"/>
      <c r="D746" s="109"/>
      <c r="E746" s="125"/>
      <c r="F746" s="717"/>
      <c r="G746" s="77"/>
      <c r="H746" s="61"/>
      <c r="I746" s="55"/>
      <c r="J746" s="957"/>
      <c r="K746" s="681"/>
    </row>
    <row r="747" spans="1:11" s="19" customFormat="1" ht="20.25">
      <c r="A747" s="101"/>
      <c r="B747" s="260" t="s">
        <v>52</v>
      </c>
      <c r="C747" s="213"/>
      <c r="D747" s="109"/>
      <c r="E747" s="125"/>
      <c r="F747" s="98">
        <v>658432</v>
      </c>
      <c r="G747" s="98">
        <v>302696.18</v>
      </c>
      <c r="H747" s="98">
        <f>I747-G747</f>
        <v>595287.8200000001</v>
      </c>
      <c r="I747" s="98">
        <v>897984</v>
      </c>
      <c r="J747" s="98">
        <v>609247</v>
      </c>
      <c r="K747" s="681"/>
    </row>
    <row r="748" spans="1:11" s="19" customFormat="1" ht="20.25">
      <c r="A748" s="101"/>
      <c r="B748" s="260" t="s">
        <v>53</v>
      </c>
      <c r="C748" s="213"/>
      <c r="D748" s="109"/>
      <c r="E748" s="125"/>
      <c r="F748" s="98">
        <v>110000</v>
      </c>
      <c r="G748" s="98">
        <v>48000</v>
      </c>
      <c r="H748" s="98">
        <f aca="true" t="shared" si="3" ref="H748:H761">I748-G748</f>
        <v>96000</v>
      </c>
      <c r="I748" s="98">
        <v>144000</v>
      </c>
      <c r="J748" s="98">
        <v>96000</v>
      </c>
      <c r="K748" s="681"/>
    </row>
    <row r="749" spans="1:11" s="19" customFormat="1" ht="20.25">
      <c r="A749" s="101"/>
      <c r="B749" s="260" t="s">
        <v>484</v>
      </c>
      <c r="C749" s="213"/>
      <c r="D749" s="109"/>
      <c r="E749" s="125"/>
      <c r="F749" s="98">
        <v>30000</v>
      </c>
      <c r="G749" s="98">
        <v>24000</v>
      </c>
      <c r="H749" s="98">
        <f t="shared" si="3"/>
        <v>12000</v>
      </c>
      <c r="I749" s="98">
        <v>36000</v>
      </c>
      <c r="J749" s="98">
        <v>24000</v>
      </c>
      <c r="K749" s="681"/>
    </row>
    <row r="750" spans="1:11" s="19" customFormat="1" ht="20.25">
      <c r="A750" s="101"/>
      <c r="B750" s="260" t="s">
        <v>0</v>
      </c>
      <c r="C750" s="213"/>
      <c r="D750" s="109"/>
      <c r="E750" s="125"/>
      <c r="F750" s="327">
        <v>48224</v>
      </c>
      <c r="G750" s="98">
        <v>0</v>
      </c>
      <c r="H750" s="98">
        <f t="shared" si="3"/>
        <v>74832</v>
      </c>
      <c r="I750" s="98">
        <v>74832</v>
      </c>
      <c r="J750" s="98">
        <v>50770.583333333336</v>
      </c>
      <c r="K750" s="681"/>
    </row>
    <row r="751" spans="1:11" s="19" customFormat="1" ht="20.25">
      <c r="A751" s="101"/>
      <c r="B751" s="260" t="s">
        <v>59</v>
      </c>
      <c r="C751" s="213"/>
      <c r="D751" s="109"/>
      <c r="E751" s="125"/>
      <c r="F751" s="98">
        <v>20000</v>
      </c>
      <c r="G751" s="98">
        <v>0</v>
      </c>
      <c r="H751" s="98">
        <f t="shared" si="3"/>
        <v>30000</v>
      </c>
      <c r="I751" s="98">
        <v>30000</v>
      </c>
      <c r="J751" s="98">
        <v>20000</v>
      </c>
      <c r="K751" s="681"/>
    </row>
    <row r="752" spans="1:11" s="19" customFormat="1" ht="20.25">
      <c r="A752" s="101"/>
      <c r="B752" s="260" t="s">
        <v>280</v>
      </c>
      <c r="C752" s="213"/>
      <c r="D752" s="109"/>
      <c r="E752" s="125"/>
      <c r="F752" s="98">
        <v>72718.75</v>
      </c>
      <c r="G752" s="98">
        <v>36528.96</v>
      </c>
      <c r="H752" s="98">
        <f t="shared" si="3"/>
        <v>35199.29</v>
      </c>
      <c r="I752" s="98">
        <v>71728.25</v>
      </c>
      <c r="J752" s="98">
        <v>50770.583333333336</v>
      </c>
      <c r="K752" s="681"/>
    </row>
    <row r="753" spans="1:11" s="19" customFormat="1" ht="20.25">
      <c r="A753" s="101"/>
      <c r="B753" s="260" t="s">
        <v>60</v>
      </c>
      <c r="C753" s="213"/>
      <c r="D753" s="109"/>
      <c r="E753" s="125"/>
      <c r="F753" s="98">
        <v>59616</v>
      </c>
      <c r="G753" s="98">
        <v>50495</v>
      </c>
      <c r="H753" s="98">
        <f t="shared" si="3"/>
        <v>24337</v>
      </c>
      <c r="I753" s="98">
        <v>74832</v>
      </c>
      <c r="J753" s="98">
        <v>50770.583333333336</v>
      </c>
      <c r="K753" s="681"/>
    </row>
    <row r="754" spans="1:11" s="19" customFormat="1" ht="20.25">
      <c r="A754" s="101"/>
      <c r="B754" s="260" t="s">
        <v>485</v>
      </c>
      <c r="C754" s="213"/>
      <c r="D754" s="109"/>
      <c r="E754" s="125"/>
      <c r="F754" s="347">
        <v>78724.56</v>
      </c>
      <c r="G754" s="98">
        <v>36323.54</v>
      </c>
      <c r="H754" s="98">
        <f t="shared" si="3"/>
        <v>71434.54000000001</v>
      </c>
      <c r="I754" s="98">
        <v>107758.08</v>
      </c>
      <c r="J754" s="98">
        <v>73109.64</v>
      </c>
      <c r="K754" s="681"/>
    </row>
    <row r="755" spans="1:11" s="19" customFormat="1" ht="20.25">
      <c r="A755" s="101"/>
      <c r="B755" s="260" t="s">
        <v>61</v>
      </c>
      <c r="C755" s="213"/>
      <c r="D755" s="109"/>
      <c r="E755" s="125"/>
      <c r="F755" s="98">
        <v>9366.38</v>
      </c>
      <c r="G755" s="98">
        <v>2687.56</v>
      </c>
      <c r="H755" s="98">
        <f t="shared" si="3"/>
        <v>15272.12</v>
      </c>
      <c r="I755" s="98">
        <v>17959.68</v>
      </c>
      <c r="J755" s="98">
        <v>4800</v>
      </c>
      <c r="K755" s="681"/>
    </row>
    <row r="756" spans="1:11" s="19" customFormat="1" ht="20.25">
      <c r="A756" s="101"/>
      <c r="B756" s="260" t="s">
        <v>62</v>
      </c>
      <c r="C756" s="213"/>
      <c r="D756" s="109"/>
      <c r="E756" s="125"/>
      <c r="F756" s="98">
        <v>9024.73</v>
      </c>
      <c r="G756" s="98">
        <v>4471.57</v>
      </c>
      <c r="H756" s="98">
        <f t="shared" si="3"/>
        <v>8998.2</v>
      </c>
      <c r="I756" s="98">
        <v>13469.77</v>
      </c>
      <c r="J756" s="98">
        <v>10661.8225</v>
      </c>
      <c r="K756" s="681"/>
    </row>
    <row r="757" spans="1:11" s="19" customFormat="1" ht="20.25">
      <c r="A757" s="101"/>
      <c r="B757" s="260" t="s">
        <v>262</v>
      </c>
      <c r="C757" s="213"/>
      <c r="D757" s="109"/>
      <c r="E757" s="125"/>
      <c r="F757" s="98">
        <v>5497.1</v>
      </c>
      <c r="G757" s="98">
        <v>2400</v>
      </c>
      <c r="H757" s="98">
        <f t="shared" si="3"/>
        <v>4800</v>
      </c>
      <c r="I757" s="98">
        <v>7200</v>
      </c>
      <c r="J757" s="98">
        <v>4800</v>
      </c>
      <c r="K757" s="681"/>
    </row>
    <row r="758" spans="1:11" s="19" customFormat="1" ht="20.25">
      <c r="A758" s="101"/>
      <c r="B758" s="405" t="s">
        <v>64</v>
      </c>
      <c r="C758" s="213"/>
      <c r="D758" s="109"/>
      <c r="E758" s="125"/>
      <c r="F758" s="98">
        <v>50232</v>
      </c>
      <c r="G758" s="98"/>
      <c r="H758" s="98"/>
      <c r="I758" s="98"/>
      <c r="J758" s="98"/>
      <c r="K758" s="681"/>
    </row>
    <row r="759" spans="1:11" s="19" customFormat="1" ht="17.25">
      <c r="A759" s="182"/>
      <c r="B759" s="260" t="s">
        <v>66</v>
      </c>
      <c r="C759" s="214"/>
      <c r="D759" s="109"/>
      <c r="E759" s="125"/>
      <c r="F759" s="98">
        <f>50000+125000</f>
        <v>175000</v>
      </c>
      <c r="G759" s="98">
        <v>39358.63</v>
      </c>
      <c r="H759" s="98">
        <f t="shared" si="3"/>
        <v>123279.88999999998</v>
      </c>
      <c r="I759" s="98">
        <v>162638.52</v>
      </c>
      <c r="J759" s="98">
        <v>80000</v>
      </c>
      <c r="K759" s="681"/>
    </row>
    <row r="760" spans="1:11" s="19" customFormat="1" ht="20.25">
      <c r="A760" s="101"/>
      <c r="B760" s="260" t="s">
        <v>57</v>
      </c>
      <c r="C760" s="213"/>
      <c r="D760" s="109"/>
      <c r="E760" s="125"/>
      <c r="F760" s="98">
        <v>20000</v>
      </c>
      <c r="G760" s="98">
        <v>0</v>
      </c>
      <c r="H760" s="98">
        <f t="shared" si="3"/>
        <v>30000</v>
      </c>
      <c r="I760" s="98">
        <v>30000</v>
      </c>
      <c r="J760" s="98">
        <v>20000</v>
      </c>
      <c r="K760" s="681"/>
    </row>
    <row r="761" spans="1:11" s="19" customFormat="1" ht="17.25">
      <c r="A761" s="182"/>
      <c r="B761" s="260" t="s">
        <v>160</v>
      </c>
      <c r="C761" s="214"/>
      <c r="D761" s="109"/>
      <c r="E761" s="125"/>
      <c r="F761" s="98">
        <v>0</v>
      </c>
      <c r="G761" s="98">
        <v>0</v>
      </c>
      <c r="H761" s="98">
        <f t="shared" si="3"/>
        <v>2233.8</v>
      </c>
      <c r="I761" s="98">
        <v>2233.8</v>
      </c>
      <c r="J761" s="98">
        <v>2206.13</v>
      </c>
      <c r="K761" s="681"/>
    </row>
    <row r="762" spans="1:11" s="19" customFormat="1" ht="17.25">
      <c r="A762" s="182"/>
      <c r="B762" s="260" t="s">
        <v>294</v>
      </c>
      <c r="C762" s="214"/>
      <c r="D762" s="109"/>
      <c r="E762" s="209"/>
      <c r="F762" s="98">
        <v>20000</v>
      </c>
      <c r="G762" s="98"/>
      <c r="H762" s="98">
        <v>0</v>
      </c>
      <c r="I762" s="98"/>
      <c r="J762" s="98">
        <v>16131.08</v>
      </c>
      <c r="K762" s="681"/>
    </row>
    <row r="763" spans="1:11" s="19" customFormat="1" ht="27" customHeight="1">
      <c r="A763" s="182"/>
      <c r="B763" s="16" t="s">
        <v>161</v>
      </c>
      <c r="C763" s="189"/>
      <c r="D763" s="109"/>
      <c r="E763" s="209"/>
      <c r="F763" s="210">
        <f>SUM(F747:F762)</f>
        <v>1366835.52</v>
      </c>
      <c r="G763" s="210">
        <f>SUM(G747:G762)</f>
        <v>546961.44</v>
      </c>
      <c r="H763" s="210">
        <f>SUM(H747:H762)</f>
        <v>1123674.6600000001</v>
      </c>
      <c r="I763" s="210">
        <f>SUM(I747:I762)</f>
        <v>1670636.1</v>
      </c>
      <c r="J763" s="86">
        <f>SUM(J747:J762)</f>
        <v>1113267.4225</v>
      </c>
      <c r="K763" s="681"/>
    </row>
    <row r="764" spans="1:11" s="19" customFormat="1" ht="13.5" customHeight="1">
      <c r="A764" s="182"/>
      <c r="B764" s="16"/>
      <c r="C764" s="189"/>
      <c r="D764" s="109"/>
      <c r="E764" s="209"/>
      <c r="F764" s="83"/>
      <c r="G764" s="216"/>
      <c r="H764" s="216"/>
      <c r="I764" s="216"/>
      <c r="J764" s="265"/>
      <c r="K764" s="681"/>
    </row>
    <row r="765" spans="1:11" s="19" customFormat="1" ht="19.5" customHeight="1">
      <c r="A765" s="182"/>
      <c r="B765" s="137" t="s">
        <v>162</v>
      </c>
      <c r="C765" s="189"/>
      <c r="D765" s="109"/>
      <c r="E765" s="125"/>
      <c r="F765" s="277"/>
      <c r="G765" s="348"/>
      <c r="H765" s="215"/>
      <c r="I765" s="183"/>
      <c r="J765" s="969"/>
      <c r="K765" s="681"/>
    </row>
    <row r="766" spans="1:11" s="19" customFormat="1" ht="17.25">
      <c r="A766" s="182"/>
      <c r="B766" s="260" t="s">
        <v>69</v>
      </c>
      <c r="C766" s="189"/>
      <c r="D766" s="109"/>
      <c r="E766" s="125"/>
      <c r="F766" s="98">
        <v>5628</v>
      </c>
      <c r="G766" s="98">
        <v>0</v>
      </c>
      <c r="H766" s="98">
        <f>I766-G766</f>
        <v>50000</v>
      </c>
      <c r="I766" s="98">
        <v>50000</v>
      </c>
      <c r="J766" s="98">
        <v>100000</v>
      </c>
      <c r="K766" s="681"/>
    </row>
    <row r="767" spans="1:11" s="19" customFormat="1" ht="17.25">
      <c r="A767" s="182"/>
      <c r="B767" s="260" t="s">
        <v>176</v>
      </c>
      <c r="C767" s="189"/>
      <c r="D767" s="109"/>
      <c r="E767" s="125"/>
      <c r="F767" s="98"/>
      <c r="G767" s="98">
        <v>0</v>
      </c>
      <c r="H767" s="98">
        <f aca="true" t="shared" si="4" ref="H767:H773">I767-G767</f>
        <v>50000</v>
      </c>
      <c r="I767" s="98">
        <v>50000</v>
      </c>
      <c r="J767" s="98">
        <v>10000</v>
      </c>
      <c r="K767" s="681"/>
    </row>
    <row r="768" spans="1:11" s="19" customFormat="1" ht="17.25">
      <c r="A768" s="182"/>
      <c r="B768" s="260" t="s">
        <v>178</v>
      </c>
      <c r="C768" s="189"/>
      <c r="D768" s="109"/>
      <c r="E768" s="125"/>
      <c r="F768" s="98"/>
      <c r="G768" s="98">
        <v>0</v>
      </c>
      <c r="H768" s="98">
        <f t="shared" si="4"/>
        <v>50000</v>
      </c>
      <c r="I768" s="98">
        <v>50000</v>
      </c>
      <c r="J768" s="98">
        <v>50000</v>
      </c>
      <c r="K768" s="681"/>
    </row>
    <row r="769" spans="1:11" s="19" customFormat="1" ht="17.25">
      <c r="A769" s="182"/>
      <c r="B769" s="260" t="s">
        <v>177</v>
      </c>
      <c r="C769" s="189"/>
      <c r="D769" s="109"/>
      <c r="E769" s="125"/>
      <c r="F769" s="98"/>
      <c r="G769" s="98">
        <v>0</v>
      </c>
      <c r="H769" s="98">
        <f t="shared" si="4"/>
        <v>80000</v>
      </c>
      <c r="I769" s="98">
        <v>80000</v>
      </c>
      <c r="J769" s="98">
        <v>50000</v>
      </c>
      <c r="K769" s="681"/>
    </row>
    <row r="770" spans="1:11" s="19" customFormat="1" ht="17.25">
      <c r="A770" s="182"/>
      <c r="B770" s="260" t="s">
        <v>490</v>
      </c>
      <c r="C770" s="189"/>
      <c r="D770" s="109"/>
      <c r="E770" s="125"/>
      <c r="F770" s="98"/>
      <c r="G770" s="98">
        <v>0</v>
      </c>
      <c r="H770" s="98">
        <f t="shared" si="4"/>
        <v>150000</v>
      </c>
      <c r="I770" s="98">
        <v>150000</v>
      </c>
      <c r="J770" s="98"/>
      <c r="K770" s="681"/>
    </row>
    <row r="771" spans="1:11" s="19" customFormat="1" ht="17.25">
      <c r="A771" s="182"/>
      <c r="B771" s="260" t="s">
        <v>131</v>
      </c>
      <c r="C771" s="189"/>
      <c r="D771" s="109"/>
      <c r="E771" s="125"/>
      <c r="F771" s="98">
        <v>250000</v>
      </c>
      <c r="G771" s="98">
        <v>222111.73</v>
      </c>
      <c r="H771" s="98">
        <f t="shared" si="4"/>
        <v>27888.26999999999</v>
      </c>
      <c r="I771" s="98">
        <v>250000</v>
      </c>
      <c r="J771" s="98">
        <v>1200000</v>
      </c>
      <c r="K771" s="681"/>
    </row>
    <row r="772" spans="1:11" s="19" customFormat="1" ht="17.25">
      <c r="A772" s="182"/>
      <c r="B772" s="260" t="s">
        <v>265</v>
      </c>
      <c r="C772" s="189"/>
      <c r="D772" s="109"/>
      <c r="E772" s="125"/>
      <c r="F772" s="98">
        <v>12672.58</v>
      </c>
      <c r="G772" s="98">
        <v>0</v>
      </c>
      <c r="H772" s="98">
        <f>I772-G772</f>
        <v>50000</v>
      </c>
      <c r="I772" s="98">
        <v>50000</v>
      </c>
      <c r="J772" s="98">
        <v>50000</v>
      </c>
      <c r="K772" s="681"/>
    </row>
    <row r="773" spans="1:11" s="19" customFormat="1" ht="17.25">
      <c r="A773" s="182"/>
      <c r="B773" s="405" t="s">
        <v>406</v>
      </c>
      <c r="C773" s="189"/>
      <c r="D773" s="109"/>
      <c r="E773" s="125"/>
      <c r="F773" s="98">
        <v>14895</v>
      </c>
      <c r="G773" s="98">
        <v>0</v>
      </c>
      <c r="H773" s="98">
        <f t="shared" si="4"/>
        <v>300000</v>
      </c>
      <c r="I773" s="98">
        <v>300000</v>
      </c>
      <c r="J773" s="98">
        <v>500000</v>
      </c>
      <c r="K773" s="681"/>
    </row>
    <row r="774" spans="1:11" s="19" customFormat="1" ht="17.25">
      <c r="A774" s="182"/>
      <c r="B774" s="357" t="s">
        <v>171</v>
      </c>
      <c r="C774" s="189"/>
      <c r="D774" s="109"/>
      <c r="E774" s="125"/>
      <c r="F774" s="327">
        <v>52920</v>
      </c>
      <c r="G774" s="98"/>
      <c r="H774" s="98"/>
      <c r="I774" s="98"/>
      <c r="J774" s="244">
        <v>400000</v>
      </c>
      <c r="K774" s="681"/>
    </row>
    <row r="775" spans="1:11" s="19" customFormat="1" ht="17.25">
      <c r="A775" s="182"/>
      <c r="B775" s="16" t="s">
        <v>88</v>
      </c>
      <c r="C775" s="189"/>
      <c r="D775" s="109"/>
      <c r="E775" s="125"/>
      <c r="F775" s="353">
        <f>SUM(F766:F774)</f>
        <v>336115.58</v>
      </c>
      <c r="G775" s="86">
        <f>SUM(G766:G773)</f>
        <v>222111.73</v>
      </c>
      <c r="H775" s="86">
        <f>SUM(H766:H774)</f>
        <v>757888.27</v>
      </c>
      <c r="I775" s="86">
        <f>SUM(I766:I774)</f>
        <v>980000</v>
      </c>
      <c r="J775" s="146">
        <f>SUM(J766:J774)</f>
        <v>2360000</v>
      </c>
      <c r="K775" s="681"/>
    </row>
    <row r="776" spans="1:11" s="19" customFormat="1" ht="20.25">
      <c r="A776" s="182"/>
      <c r="B776" s="16" t="s">
        <v>89</v>
      </c>
      <c r="C776" s="189"/>
      <c r="D776" s="109"/>
      <c r="E776" s="125"/>
      <c r="F776" s="277"/>
      <c r="G776" s="348"/>
      <c r="H776" s="215"/>
      <c r="I776" s="183"/>
      <c r="J776" s="969"/>
      <c r="K776" s="681"/>
    </row>
    <row r="777" spans="1:11" s="19" customFormat="1" ht="17.25">
      <c r="A777" s="182"/>
      <c r="B777" s="260" t="s">
        <v>92</v>
      </c>
      <c r="C777" s="189"/>
      <c r="D777" s="109"/>
      <c r="E777" s="125"/>
      <c r="F777" s="98"/>
      <c r="G777" s="98"/>
      <c r="H777" s="98">
        <v>45000</v>
      </c>
      <c r="I777" s="98">
        <v>45000</v>
      </c>
      <c r="J777" s="98">
        <v>20000</v>
      </c>
      <c r="K777" s="681"/>
    </row>
    <row r="778" spans="1:11" s="19" customFormat="1" ht="17.25">
      <c r="A778" s="182"/>
      <c r="B778" s="260" t="s">
        <v>90</v>
      </c>
      <c r="C778" s="189"/>
      <c r="D778" s="109"/>
      <c r="E778" s="125"/>
      <c r="F778" s="98"/>
      <c r="G778" s="98"/>
      <c r="H778" s="98">
        <v>0</v>
      </c>
      <c r="I778" s="98"/>
      <c r="J778" s="98">
        <v>20000</v>
      </c>
      <c r="K778" s="681"/>
    </row>
    <row r="779" spans="1:11" s="19" customFormat="1" ht="17.25">
      <c r="A779" s="182"/>
      <c r="B779" s="260" t="s">
        <v>164</v>
      </c>
      <c r="C779" s="189"/>
      <c r="D779" s="109"/>
      <c r="E779" s="125"/>
      <c r="F779" s="98"/>
      <c r="G779" s="98"/>
      <c r="H779" s="98">
        <v>600000</v>
      </c>
      <c r="I779" s="98">
        <v>600000</v>
      </c>
      <c r="J779" s="98">
        <v>300000</v>
      </c>
      <c r="K779" s="681"/>
    </row>
    <row r="780" spans="1:11" s="19" customFormat="1" ht="17.25">
      <c r="A780" s="182"/>
      <c r="B780" s="405" t="s">
        <v>91</v>
      </c>
      <c r="C780" s="189"/>
      <c r="D780" s="109"/>
      <c r="E780" s="209"/>
      <c r="F780" s="246"/>
      <c r="G780" s="246"/>
      <c r="H780" s="246">
        <v>15000</v>
      </c>
      <c r="I780" s="246">
        <v>15000</v>
      </c>
      <c r="J780" s="98"/>
      <c r="K780" s="681"/>
    </row>
    <row r="781" spans="1:11" s="19" customFormat="1" ht="18" thickBot="1">
      <c r="A781" s="182"/>
      <c r="B781" s="16" t="s">
        <v>94</v>
      </c>
      <c r="C781" s="189"/>
      <c r="D781" s="109"/>
      <c r="E781" s="209"/>
      <c r="F781" s="217">
        <f>SUM(F777:F779)</f>
        <v>0</v>
      </c>
      <c r="G781" s="217">
        <f>SUM(G777:G779)</f>
        <v>0</v>
      </c>
      <c r="H781" s="217">
        <f>SUM(H777:H779)</f>
        <v>645000</v>
      </c>
      <c r="I781" s="217">
        <f>SUM(I777:I780)</f>
        <v>660000</v>
      </c>
      <c r="J781" s="83">
        <f>SUM(J777:J780)</f>
        <v>340000</v>
      </c>
      <c r="K781" s="681"/>
    </row>
    <row r="782" spans="1:11" s="18" customFormat="1" ht="30" customHeight="1" thickBot="1">
      <c r="A782" s="147" t="s">
        <v>95</v>
      </c>
      <c r="B782" s="197"/>
      <c r="C782" s="198"/>
      <c r="D782" s="218"/>
      <c r="E782" s="219"/>
      <c r="F782" s="85">
        <f>F781+F775+F763</f>
        <v>1702951.1</v>
      </c>
      <c r="G782" s="85">
        <f>G781+G775+G763</f>
        <v>769073.1699999999</v>
      </c>
      <c r="H782" s="85">
        <f>H781+H775+H763</f>
        <v>2526562.93</v>
      </c>
      <c r="I782" s="85">
        <f>I781+I775+I763</f>
        <v>3310636.1</v>
      </c>
      <c r="J782" s="85">
        <f>J781+J775+J763</f>
        <v>3813267.4225000003</v>
      </c>
      <c r="K782" s="682"/>
    </row>
    <row r="783" spans="1:11" s="18" customFormat="1" ht="30" customHeight="1" thickBot="1">
      <c r="A783" s="196" t="s">
        <v>150</v>
      </c>
      <c r="B783" s="197"/>
      <c r="C783" s="220"/>
      <c r="D783" s="150"/>
      <c r="E783" s="221"/>
      <c r="F783" s="85">
        <f>+F742-F782</f>
        <v>56704.58999999985</v>
      </c>
      <c r="G783" s="354">
        <f>+G742-G782</f>
        <v>-41023.54999999993</v>
      </c>
      <c r="H783" s="85">
        <f>+H742-H782</f>
        <v>60387.44999999972</v>
      </c>
      <c r="I783" s="222">
        <f>I742-I782</f>
        <v>4363.899999999907</v>
      </c>
      <c r="J783" s="970">
        <f>+J742-J782</f>
        <v>6732.577499999665</v>
      </c>
      <c r="K783" s="682"/>
    </row>
    <row r="784" spans="1:11" s="19" customFormat="1" ht="12.75">
      <c r="A784" s="223"/>
      <c r="B784" s="224"/>
      <c r="C784" s="224"/>
      <c r="D784" s="90"/>
      <c r="E784" s="90"/>
      <c r="F784" s="90"/>
      <c r="G784" s="90"/>
      <c r="H784" s="90"/>
      <c r="I784" s="90"/>
      <c r="J784" s="89"/>
      <c r="K784" s="681"/>
    </row>
    <row r="785" spans="1:11" s="241" customFormat="1" ht="17.25">
      <c r="A785" s="104" t="s">
        <v>151</v>
      </c>
      <c r="B785" s="105"/>
      <c r="C785" s="105"/>
      <c r="D785" s="106"/>
      <c r="E785" s="106"/>
      <c r="F785" s="106"/>
      <c r="G785" s="106"/>
      <c r="H785" s="106"/>
      <c r="I785" s="90"/>
      <c r="J785" s="89"/>
      <c r="K785" s="680"/>
    </row>
    <row r="786" spans="1:11" s="241" customFormat="1" ht="17.25">
      <c r="A786" s="104"/>
      <c r="B786" s="105"/>
      <c r="C786" s="105"/>
      <c r="D786" s="106"/>
      <c r="E786" s="106"/>
      <c r="F786" s="106"/>
      <c r="G786" s="106"/>
      <c r="H786" s="106"/>
      <c r="I786" s="90"/>
      <c r="J786" s="89"/>
      <c r="K786" s="680"/>
    </row>
    <row r="787" spans="1:11" s="19" customFormat="1" ht="20.25">
      <c r="A787" s="1034" t="s">
        <v>165</v>
      </c>
      <c r="B787" s="1030"/>
      <c r="C787" s="1030"/>
      <c r="D787" s="1030"/>
      <c r="E787" s="1030"/>
      <c r="F787" s="709"/>
      <c r="G787" s="1030" t="s">
        <v>166</v>
      </c>
      <c r="H787" s="1030"/>
      <c r="I787" s="1030"/>
      <c r="J787" s="1031"/>
      <c r="K787" s="681"/>
    </row>
    <row r="788" spans="1:11" s="19" customFormat="1" ht="17.25">
      <c r="A788" s="1044" t="s">
        <v>167</v>
      </c>
      <c r="B788" s="1032"/>
      <c r="C788" s="1032"/>
      <c r="D788" s="1032"/>
      <c r="E788" s="1032"/>
      <c r="F788" s="710"/>
      <c r="G788" s="1032" t="s">
        <v>168</v>
      </c>
      <c r="H788" s="1032"/>
      <c r="I788" s="1032"/>
      <c r="J788" s="1033"/>
      <c r="K788" s="681"/>
    </row>
    <row r="789" spans="1:11" s="19" customFormat="1" ht="15">
      <c r="A789" s="258"/>
      <c r="B789" s="259"/>
      <c r="C789" s="259"/>
      <c r="D789" s="259"/>
      <c r="E789" s="259"/>
      <c r="F789" s="712"/>
      <c r="G789" s="259"/>
      <c r="H789" s="34"/>
      <c r="I789" s="163"/>
      <c r="J789" s="963"/>
      <c r="K789" s="681"/>
    </row>
    <row r="790" spans="1:11" s="19" customFormat="1" ht="12.75">
      <c r="A790" s="95"/>
      <c r="B790" s="162"/>
      <c r="C790" s="162"/>
      <c r="D790" s="162"/>
      <c r="E790" s="162"/>
      <c r="F790" s="1048"/>
      <c r="G790" s="1048"/>
      <c r="H790" s="163"/>
      <c r="I790" s="163"/>
      <c r="J790" s="963"/>
      <c r="K790" s="681"/>
    </row>
    <row r="791" spans="1:11" s="19" customFormat="1" ht="31.5" customHeight="1">
      <c r="A791" s="1034" t="s">
        <v>685</v>
      </c>
      <c r="B791" s="1030"/>
      <c r="C791" s="1030"/>
      <c r="D791" s="1030"/>
      <c r="E791" s="1030"/>
      <c r="F791" s="709"/>
      <c r="G791" s="1030" t="s">
        <v>624</v>
      </c>
      <c r="H791" s="1030"/>
      <c r="I791" s="1030"/>
      <c r="J791" s="1031"/>
      <c r="K791" s="681"/>
    </row>
    <row r="792" spans="1:11" s="19" customFormat="1" ht="14.25" customHeight="1">
      <c r="A792" s="1028" t="s">
        <v>686</v>
      </c>
      <c r="B792" s="1029"/>
      <c r="C792" s="1029"/>
      <c r="D792" s="1029"/>
      <c r="E792" s="1029"/>
      <c r="F792" s="710"/>
      <c r="G792" s="1032" t="s">
        <v>169</v>
      </c>
      <c r="H792" s="1032"/>
      <c r="I792" s="1032"/>
      <c r="J792" s="1033"/>
      <c r="K792" s="681"/>
    </row>
    <row r="793" spans="1:11" s="19" customFormat="1" ht="14.25" customHeight="1">
      <c r="A793" s="165"/>
      <c r="B793" s="162"/>
      <c r="C793" s="253"/>
      <c r="D793" s="253"/>
      <c r="E793" s="253"/>
      <c r="F793" s="716"/>
      <c r="G793" s="253"/>
      <c r="H793" s="75"/>
      <c r="I793" s="163"/>
      <c r="J793" s="963"/>
      <c r="K793" s="681"/>
    </row>
    <row r="794" spans="1:11" s="19" customFormat="1" ht="12.75">
      <c r="A794" s="95"/>
      <c r="B794" s="163"/>
      <c r="C794" s="163"/>
      <c r="D794" s="163"/>
      <c r="E794" s="163"/>
      <c r="F794" s="163"/>
      <c r="G794" s="163"/>
      <c r="H794" s="163"/>
      <c r="I794" s="163"/>
      <c r="J794" s="963"/>
      <c r="K794" s="681"/>
    </row>
    <row r="795" spans="1:11" s="19" customFormat="1" ht="20.25">
      <c r="A795" s="107" t="s">
        <v>271</v>
      </c>
      <c r="B795" s="75"/>
      <c r="C795" s="253"/>
      <c r="D795" s="253"/>
      <c r="E795" s="253"/>
      <c r="F795" s="716"/>
      <c r="G795" s="253"/>
      <c r="H795" s="75"/>
      <c r="I795" s="75"/>
      <c r="J795" s="60"/>
      <c r="K795" s="681"/>
    </row>
    <row r="796" spans="1:11" s="19" customFormat="1" ht="17.25">
      <c r="A796" s="61"/>
      <c r="B796" s="75"/>
      <c r="C796" s="75"/>
      <c r="D796" s="108"/>
      <c r="E796" s="108"/>
      <c r="F796" s="75"/>
      <c r="G796" s="75"/>
      <c r="H796" s="75"/>
      <c r="I796" s="75"/>
      <c r="J796" s="60"/>
      <c r="K796" s="681"/>
    </row>
    <row r="797" spans="1:11" s="19" customFormat="1" ht="22.5">
      <c r="A797" s="1058" t="str">
        <f>A699</f>
        <v>WILLIAM E. CALVEZ, CE</v>
      </c>
      <c r="B797" s="1059"/>
      <c r="C797" s="1059"/>
      <c r="D797" s="1059"/>
      <c r="E797" s="1059"/>
      <c r="F797" s="1059"/>
      <c r="G797" s="1059"/>
      <c r="H797" s="1059"/>
      <c r="I797" s="1059"/>
      <c r="J797" s="1060"/>
      <c r="K797" s="681"/>
    </row>
    <row r="798" spans="1:11" s="19" customFormat="1" ht="15">
      <c r="A798" s="1061" t="s">
        <v>155</v>
      </c>
      <c r="B798" s="1062"/>
      <c r="C798" s="1062"/>
      <c r="D798" s="1062"/>
      <c r="E798" s="1062"/>
      <c r="F798" s="1062"/>
      <c r="G798" s="1062"/>
      <c r="H798" s="1062"/>
      <c r="I798" s="1062"/>
      <c r="J798" s="1063"/>
      <c r="K798" s="681"/>
    </row>
    <row r="799" spans="1:11" s="19" customFormat="1" ht="12.75">
      <c r="A799" s="167"/>
      <c r="B799" s="30"/>
      <c r="C799" s="30"/>
      <c r="D799" s="30"/>
      <c r="E799" s="30"/>
      <c r="F799" s="30"/>
      <c r="G799" s="30"/>
      <c r="H799" s="30"/>
      <c r="I799" s="30"/>
      <c r="J799" s="925"/>
      <c r="K799" s="681"/>
    </row>
    <row r="800" spans="1:11" s="19" customFormat="1" ht="12.75">
      <c r="A800" s="25"/>
      <c r="B800" s="90"/>
      <c r="C800" s="90"/>
      <c r="D800" s="109"/>
      <c r="E800" s="109"/>
      <c r="F800" s="109"/>
      <c r="G800" s="109"/>
      <c r="H800" s="90"/>
      <c r="I800" s="90"/>
      <c r="J800" s="90"/>
      <c r="K800" s="681"/>
    </row>
    <row r="801" spans="1:11" s="19" customFormat="1" ht="12.75">
      <c r="A801" s="90"/>
      <c r="B801" s="90"/>
      <c r="C801" s="90"/>
      <c r="D801" s="109"/>
      <c r="E801" s="109"/>
      <c r="F801" s="109"/>
      <c r="G801" s="90"/>
      <c r="H801" s="90"/>
      <c r="I801" s="90"/>
      <c r="J801" s="90"/>
      <c r="K801" s="681"/>
    </row>
    <row r="802" spans="1:11" s="19" customFormat="1" ht="17.25">
      <c r="A802" s="92" t="str">
        <f>A524</f>
        <v>LBP Form No. 1</v>
      </c>
      <c r="B802" s="22"/>
      <c r="C802" s="161"/>
      <c r="D802" s="161"/>
      <c r="E802" s="161"/>
      <c r="F802" s="161"/>
      <c r="G802" s="161"/>
      <c r="H802" s="161"/>
      <c r="I802" s="161"/>
      <c r="J802" s="32"/>
      <c r="K802" s="681"/>
    </row>
    <row r="803" spans="1:11" s="19" customFormat="1" ht="9" customHeight="1">
      <c r="A803" s="225"/>
      <c r="B803" s="106"/>
      <c r="C803" s="106"/>
      <c r="D803" s="106"/>
      <c r="E803" s="106"/>
      <c r="F803" s="106"/>
      <c r="G803" s="106"/>
      <c r="H803" s="106"/>
      <c r="I803" s="106"/>
      <c r="J803" s="954"/>
      <c r="K803" s="681"/>
    </row>
    <row r="804" spans="1:11" s="19" customFormat="1" ht="22.5">
      <c r="A804" s="1049" t="str">
        <f>A4</f>
        <v>BUDGET OF EXPENDITURES AND SOURCE OF FINANCING</v>
      </c>
      <c r="B804" s="1050"/>
      <c r="C804" s="1050"/>
      <c r="D804" s="1050"/>
      <c r="E804" s="1050"/>
      <c r="F804" s="1050"/>
      <c r="G804" s="1050"/>
      <c r="H804" s="1050"/>
      <c r="I804" s="1050"/>
      <c r="J804" s="1051"/>
      <c r="K804" s="681"/>
    </row>
    <row r="805" spans="1:11" s="19" customFormat="1" ht="20.25">
      <c r="A805" s="1052" t="str">
        <f>A5</f>
        <v>Municipality of Trento</v>
      </c>
      <c r="B805" s="1053"/>
      <c r="C805" s="1053"/>
      <c r="D805" s="1053"/>
      <c r="E805" s="1053"/>
      <c r="F805" s="1053"/>
      <c r="G805" s="1053"/>
      <c r="H805" s="1053"/>
      <c r="I805" s="1053"/>
      <c r="J805" s="1054"/>
      <c r="K805" s="681"/>
    </row>
    <row r="806" spans="1:11" s="19" customFormat="1" ht="20.25">
      <c r="A806" s="1034" t="s">
        <v>179</v>
      </c>
      <c r="B806" s="1030"/>
      <c r="C806" s="1030"/>
      <c r="D806" s="1030"/>
      <c r="E806" s="1030"/>
      <c r="F806" s="1030"/>
      <c r="G806" s="1030"/>
      <c r="H806" s="1030"/>
      <c r="I806" s="1030"/>
      <c r="J806" s="1031"/>
      <c r="K806" s="681"/>
    </row>
    <row r="807" spans="1:11" s="19" customFormat="1" ht="9" customHeight="1">
      <c r="A807" s="169"/>
      <c r="B807" s="226"/>
      <c r="C807" s="29"/>
      <c r="D807" s="30"/>
      <c r="E807" s="30"/>
      <c r="F807" s="30"/>
      <c r="G807" s="30"/>
      <c r="H807" s="30"/>
      <c r="I807" s="30"/>
      <c r="J807" s="925"/>
      <c r="K807" s="681"/>
    </row>
    <row r="808" spans="1:11" s="19" customFormat="1" ht="20.25">
      <c r="A808" s="24"/>
      <c r="B808" s="25"/>
      <c r="C808" s="27"/>
      <c r="D808" s="31"/>
      <c r="E808" s="114"/>
      <c r="F808" s="39"/>
      <c r="G808" s="1035" t="s">
        <v>4</v>
      </c>
      <c r="H808" s="1036"/>
      <c r="I808" s="1036"/>
      <c r="J808" s="666"/>
      <c r="K808" s="681"/>
    </row>
    <row r="809" spans="1:11" s="19" customFormat="1" ht="17.25">
      <c r="A809" s="33"/>
      <c r="B809" s="34"/>
      <c r="C809" s="34"/>
      <c r="D809" s="115" t="s">
        <v>5</v>
      </c>
      <c r="E809" s="40" t="s">
        <v>6</v>
      </c>
      <c r="F809" s="717" t="s">
        <v>7</v>
      </c>
      <c r="G809" s="254" t="s">
        <v>8</v>
      </c>
      <c r="H809" s="37" t="s">
        <v>9</v>
      </c>
      <c r="I809" s="402"/>
      <c r="J809" s="37" t="s">
        <v>10</v>
      </c>
      <c r="K809" s="681"/>
    </row>
    <row r="810" spans="1:11" s="19" customFormat="1" ht="20.25">
      <c r="A810" s="1034" t="s">
        <v>11</v>
      </c>
      <c r="B810" s="1030"/>
      <c r="C810" s="1031"/>
      <c r="D810" s="31" t="s">
        <v>12</v>
      </c>
      <c r="E810" s="39" t="s">
        <v>13</v>
      </c>
      <c r="F810" s="39" t="s">
        <v>14</v>
      </c>
      <c r="G810" s="40" t="s">
        <v>14</v>
      </c>
      <c r="H810" s="39" t="s">
        <v>15</v>
      </c>
      <c r="I810" s="402" t="s">
        <v>1</v>
      </c>
      <c r="J810" s="37">
        <v>2021</v>
      </c>
      <c r="K810" s="681"/>
    </row>
    <row r="811" spans="1:11" s="19" customFormat="1" ht="15">
      <c r="A811" s="33"/>
      <c r="B811" s="34"/>
      <c r="C811" s="41"/>
      <c r="D811" s="109"/>
      <c r="E811" s="40"/>
      <c r="F811" s="39">
        <v>2019</v>
      </c>
      <c r="G811" s="39">
        <v>2020</v>
      </c>
      <c r="H811" s="39">
        <f>G811</f>
        <v>2020</v>
      </c>
      <c r="I811" s="42">
        <f>H811</f>
        <v>2020</v>
      </c>
      <c r="J811" s="40"/>
      <c r="K811" s="681"/>
    </row>
    <row r="812" spans="1:11" s="19" customFormat="1" ht="15">
      <c r="A812" s="1037">
        <v>-1</v>
      </c>
      <c r="B812" s="1038"/>
      <c r="C812" s="1039"/>
      <c r="D812" s="119">
        <v>-2</v>
      </c>
      <c r="E812" s="252">
        <v>-3</v>
      </c>
      <c r="F812" s="711">
        <v>-4</v>
      </c>
      <c r="G812" s="43">
        <v>-5</v>
      </c>
      <c r="H812" s="43">
        <v>-6</v>
      </c>
      <c r="I812" s="401">
        <v>-7</v>
      </c>
      <c r="J812" s="43">
        <v>-8</v>
      </c>
      <c r="K812" s="681"/>
    </row>
    <row r="813" spans="1:11" s="19" customFormat="1" ht="20.25">
      <c r="A813" s="172" t="s">
        <v>16</v>
      </c>
      <c r="B813" s="173"/>
      <c r="C813" s="174"/>
      <c r="D813" s="120"/>
      <c r="E813" s="121"/>
      <c r="F813" s="342"/>
      <c r="G813" s="122"/>
      <c r="H813" s="122"/>
      <c r="I813" s="123"/>
      <c r="J813" s="956"/>
      <c r="K813" s="681"/>
    </row>
    <row r="814" spans="1:11" s="19" customFormat="1" ht="20.25">
      <c r="A814" s="176" t="s">
        <v>18</v>
      </c>
      <c r="B814" s="177"/>
      <c r="C814" s="178"/>
      <c r="D814" s="24"/>
      <c r="E814" s="124"/>
      <c r="F814" s="60"/>
      <c r="G814" s="56"/>
      <c r="H814" s="56"/>
      <c r="I814" s="56"/>
      <c r="J814" s="957"/>
      <c r="K814" s="681"/>
    </row>
    <row r="815" spans="1:11" s="19" customFormat="1" ht="20.25">
      <c r="A815" s="176" t="s">
        <v>19</v>
      </c>
      <c r="B815" s="177"/>
      <c r="C815" s="177"/>
      <c r="D815" s="24"/>
      <c r="E815" s="124"/>
      <c r="F815" s="60"/>
      <c r="G815" s="56"/>
      <c r="H815" s="56"/>
      <c r="I815" s="56"/>
      <c r="J815" s="957"/>
      <c r="K815" s="681"/>
    </row>
    <row r="816" spans="1:11" s="19" customFormat="1" ht="20.25">
      <c r="A816" s="180" t="s">
        <v>20</v>
      </c>
      <c r="B816" s="181"/>
      <c r="C816" s="103"/>
      <c r="D816" s="24"/>
      <c r="E816" s="124"/>
      <c r="F816" s="60"/>
      <c r="G816" s="60"/>
      <c r="H816" s="60"/>
      <c r="I816" s="60"/>
      <c r="J816" s="957"/>
      <c r="K816" s="681"/>
    </row>
    <row r="817" spans="1:11" s="19" customFormat="1" ht="20.25">
      <c r="A817" s="182" t="s">
        <v>25</v>
      </c>
      <c r="B817" s="181"/>
      <c r="C817" s="103"/>
      <c r="D817" s="115"/>
      <c r="E817" s="125"/>
      <c r="F817" s="69"/>
      <c r="G817" s="62"/>
      <c r="H817" s="70"/>
      <c r="I817" s="70"/>
      <c r="J817" s="126"/>
      <c r="K817" s="681"/>
    </row>
    <row r="818" spans="1:11" s="19" customFormat="1" ht="20.25">
      <c r="A818" s="182" t="s">
        <v>26</v>
      </c>
      <c r="B818" s="181"/>
      <c r="C818" s="103"/>
      <c r="D818" s="115"/>
      <c r="E818" s="125"/>
      <c r="F818" s="69"/>
      <c r="G818" s="62"/>
      <c r="H818" s="70"/>
      <c r="I818" s="70"/>
      <c r="J818" s="126"/>
      <c r="K818" s="681"/>
    </row>
    <row r="819" spans="1:11" s="19" customFormat="1" ht="20.25">
      <c r="A819" s="182" t="s">
        <v>30</v>
      </c>
      <c r="B819" s="181"/>
      <c r="C819" s="103"/>
      <c r="D819" s="115"/>
      <c r="E819" s="125"/>
      <c r="F819" s="62">
        <v>1212172.78</v>
      </c>
      <c r="G819" s="62">
        <v>1231344.68</v>
      </c>
      <c r="H819" s="62">
        <f>I819-G819</f>
        <v>7668655.32</v>
      </c>
      <c r="I819" s="126">
        <v>8900000</v>
      </c>
      <c r="J819" s="126">
        <v>3600000</v>
      </c>
      <c r="K819" s="681"/>
    </row>
    <row r="820" spans="1:11" s="19" customFormat="1" ht="20.25">
      <c r="A820" s="182" t="s">
        <v>31</v>
      </c>
      <c r="B820" s="181"/>
      <c r="C820" s="99"/>
      <c r="D820" s="93"/>
      <c r="E820" s="129"/>
      <c r="F820" s="270"/>
      <c r="G820" s="270"/>
      <c r="H820" s="62"/>
      <c r="I820" s="184">
        <v>0</v>
      </c>
      <c r="J820" s="127"/>
      <c r="K820" s="681"/>
    </row>
    <row r="821" spans="1:14" s="19" customFormat="1" ht="20.25">
      <c r="A821" s="185" t="s">
        <v>32</v>
      </c>
      <c r="B821" s="186"/>
      <c r="C821" s="99"/>
      <c r="D821" s="115"/>
      <c r="E821" s="125"/>
      <c r="F821" s="57">
        <f>F819</f>
        <v>1212172.78</v>
      </c>
      <c r="G821" s="57">
        <f>G819</f>
        <v>1231344.68</v>
      </c>
      <c r="H821" s="128">
        <f>I821-G821</f>
        <v>7668655.32</v>
      </c>
      <c r="I821" s="57">
        <f>SUM(I819:I820)</f>
        <v>8900000</v>
      </c>
      <c r="J821" s="127">
        <f>SUM(J819:J820)</f>
        <v>3600000</v>
      </c>
      <c r="K821" s="681"/>
      <c r="N821" s="245"/>
    </row>
    <row r="822" spans="1:11" s="19" customFormat="1" ht="20.25">
      <c r="A822" s="176" t="s">
        <v>33</v>
      </c>
      <c r="B822" s="181"/>
      <c r="C822" s="103"/>
      <c r="D822" s="115"/>
      <c r="E822" s="125"/>
      <c r="F822" s="716"/>
      <c r="G822" s="62"/>
      <c r="H822" s="69"/>
      <c r="I822" s="69"/>
      <c r="J822" s="958"/>
      <c r="K822" s="681"/>
    </row>
    <row r="823" spans="1:11" s="19" customFormat="1" ht="20.25">
      <c r="A823" s="187" t="s">
        <v>157</v>
      </c>
      <c r="B823" s="103"/>
      <c r="C823" s="103"/>
      <c r="D823" s="115"/>
      <c r="E823" s="125"/>
      <c r="F823" s="716"/>
      <c r="G823" s="62"/>
      <c r="H823" s="69"/>
      <c r="I823" s="69"/>
      <c r="J823" s="958"/>
      <c r="K823" s="681"/>
    </row>
    <row r="824" spans="1:11" s="19" customFormat="1" ht="20.25">
      <c r="A824" s="187" t="s">
        <v>40</v>
      </c>
      <c r="B824" s="103"/>
      <c r="C824" s="103"/>
      <c r="D824" s="115"/>
      <c r="E824" s="125"/>
      <c r="F824" s="716"/>
      <c r="G824" s="62"/>
      <c r="H824" s="69"/>
      <c r="I824" s="69"/>
      <c r="J824" s="958"/>
      <c r="K824" s="681"/>
    </row>
    <row r="825" spans="1:11" s="19" customFormat="1" ht="20.25">
      <c r="A825" s="187" t="s">
        <v>41</v>
      </c>
      <c r="B825" s="103"/>
      <c r="C825" s="103"/>
      <c r="D825" s="115"/>
      <c r="E825" s="125"/>
      <c r="F825" s="716"/>
      <c r="G825" s="62"/>
      <c r="H825" s="62"/>
      <c r="I825" s="62"/>
      <c r="J825" s="126"/>
      <c r="K825" s="681"/>
    </row>
    <row r="826" spans="1:11" s="19" customFormat="1" ht="20.25">
      <c r="A826" s="187" t="s">
        <v>158</v>
      </c>
      <c r="B826" s="103"/>
      <c r="C826" s="103"/>
      <c r="D826" s="115"/>
      <c r="E826" s="125"/>
      <c r="F826" s="716"/>
      <c r="G826" s="62"/>
      <c r="H826" s="69"/>
      <c r="I826" s="69"/>
      <c r="J826" s="958"/>
      <c r="K826" s="681"/>
    </row>
    <row r="827" spans="1:11" s="19" customFormat="1" ht="20.25">
      <c r="A827" s="187" t="s">
        <v>43</v>
      </c>
      <c r="B827" s="103"/>
      <c r="C827" s="99"/>
      <c r="D827" s="93"/>
      <c r="E827" s="129"/>
      <c r="F827" s="106"/>
      <c r="G827" s="57"/>
      <c r="H827" s="56"/>
      <c r="I827" s="56"/>
      <c r="J827" s="959"/>
      <c r="K827" s="681"/>
    </row>
    <row r="828" spans="1:11" s="19" customFormat="1" ht="20.25">
      <c r="A828" s="187" t="s">
        <v>44</v>
      </c>
      <c r="B828" s="103"/>
      <c r="C828" s="103"/>
      <c r="D828" s="115"/>
      <c r="E828" s="125"/>
      <c r="F828" s="69"/>
      <c r="G828" s="62"/>
      <c r="H828" s="62"/>
      <c r="I828" s="69"/>
      <c r="J828" s="958"/>
      <c r="K828" s="681"/>
    </row>
    <row r="829" spans="1:11" s="19" customFormat="1" ht="20.25">
      <c r="A829" s="182" t="s">
        <v>48</v>
      </c>
      <c r="B829" s="103"/>
      <c r="C829" s="189"/>
      <c r="D829" s="109"/>
      <c r="E829" s="125"/>
      <c r="F829" s="717"/>
      <c r="G829" s="62"/>
      <c r="H829" s="69"/>
      <c r="I829" s="69"/>
      <c r="J829" s="958"/>
      <c r="K829" s="681"/>
    </row>
    <row r="830" spans="1:11" s="19" customFormat="1" ht="20.25">
      <c r="A830" s="185" t="s">
        <v>49</v>
      </c>
      <c r="B830" s="99"/>
      <c r="C830" s="189"/>
      <c r="D830" s="109"/>
      <c r="E830" s="125"/>
      <c r="F830" s="210">
        <f>SUM(F821:F829)</f>
        <v>1212172.78</v>
      </c>
      <c r="G830" s="86">
        <f>SUM(G821:G829)</f>
        <v>1231344.68</v>
      </c>
      <c r="H830" s="68">
        <f>SUM(H821:H829)</f>
        <v>7668655.32</v>
      </c>
      <c r="I830" s="86">
        <f>SUM(I821:I829)</f>
        <v>8900000</v>
      </c>
      <c r="J830" s="968">
        <f>SUM(J821:J829)</f>
        <v>3600000</v>
      </c>
      <c r="K830" s="681"/>
    </row>
    <row r="831" spans="1:11" s="19" customFormat="1" ht="20.25">
      <c r="A831" s="185" t="s">
        <v>51</v>
      </c>
      <c r="B831" s="99"/>
      <c r="C831" s="212"/>
      <c r="D831" s="109"/>
      <c r="E831" s="125"/>
      <c r="F831" s="343"/>
      <c r="G831" s="77"/>
      <c r="H831" s="62"/>
      <c r="I831" s="69"/>
      <c r="J831" s="958"/>
      <c r="K831" s="681"/>
    </row>
    <row r="832" spans="1:11" s="19" customFormat="1" ht="20.25">
      <c r="A832" s="185"/>
      <c r="B832" s="99" t="s">
        <v>159</v>
      </c>
      <c r="C832" s="212"/>
      <c r="D832" s="109"/>
      <c r="E832" s="125"/>
      <c r="F832" s="355"/>
      <c r="G832" s="62"/>
      <c r="H832" s="62"/>
      <c r="I832" s="69"/>
      <c r="J832" s="958"/>
      <c r="K832" s="681"/>
    </row>
    <row r="833" spans="1:11" s="19" customFormat="1" ht="17.25">
      <c r="A833" s="185"/>
      <c r="B833" s="260" t="s">
        <v>52</v>
      </c>
      <c r="C833" s="212"/>
      <c r="D833" s="109"/>
      <c r="E833" s="125"/>
      <c r="F833" s="98">
        <v>807101.2</v>
      </c>
      <c r="G833" s="98">
        <v>115855.13</v>
      </c>
      <c r="H833" s="98">
        <f>I833-G833</f>
        <v>1512501.87</v>
      </c>
      <c r="I833" s="98">
        <v>1628357</v>
      </c>
      <c r="J833" s="98">
        <v>500832</v>
      </c>
      <c r="K833" s="681"/>
    </row>
    <row r="834" spans="1:11" s="19" customFormat="1" ht="17.25">
      <c r="A834" s="185"/>
      <c r="B834" s="260" t="s">
        <v>53</v>
      </c>
      <c r="C834" s="212"/>
      <c r="D834" s="109"/>
      <c r="E834" s="125"/>
      <c r="F834" s="98">
        <v>85999.8</v>
      </c>
      <c r="G834" s="98">
        <v>12000</v>
      </c>
      <c r="H834" s="98">
        <f aca="true" t="shared" si="5" ref="H834:H850">I834-G834</f>
        <v>156000</v>
      </c>
      <c r="I834" s="98">
        <v>168000</v>
      </c>
      <c r="J834" s="98">
        <v>48000</v>
      </c>
      <c r="K834" s="681"/>
    </row>
    <row r="835" spans="1:11" s="19" customFormat="1" ht="17.25">
      <c r="A835" s="185"/>
      <c r="B835" s="260" t="s">
        <v>484</v>
      </c>
      <c r="C835" s="212"/>
      <c r="D835" s="109"/>
      <c r="E835" s="125"/>
      <c r="F835" s="98">
        <v>30000</v>
      </c>
      <c r="G835" s="98">
        <v>6000</v>
      </c>
      <c r="H835" s="98">
        <f t="shared" si="5"/>
        <v>36000</v>
      </c>
      <c r="I835" s="98">
        <v>42000</v>
      </c>
      <c r="J835" s="98">
        <v>12000</v>
      </c>
      <c r="K835" s="681"/>
    </row>
    <row r="836" spans="1:11" s="19" customFormat="1" ht="17.25">
      <c r="A836" s="185"/>
      <c r="B836" s="260" t="s">
        <v>227</v>
      </c>
      <c r="C836" s="212"/>
      <c r="D836" s="109"/>
      <c r="E836" s="125"/>
      <c r="F836" s="98">
        <v>0</v>
      </c>
      <c r="G836" s="98">
        <v>8091.75</v>
      </c>
      <c r="H836" s="98">
        <f t="shared" si="5"/>
        <v>117908.25</v>
      </c>
      <c r="I836" s="98">
        <v>126000</v>
      </c>
      <c r="J836" s="98">
        <v>36000</v>
      </c>
      <c r="K836" s="681"/>
    </row>
    <row r="837" spans="1:11" s="19" customFormat="1" ht="17.25">
      <c r="A837" s="185"/>
      <c r="B837" s="260" t="s">
        <v>63</v>
      </c>
      <c r="C837" s="189"/>
      <c r="D837" s="109"/>
      <c r="E837" s="125"/>
      <c r="F837" s="246">
        <v>0</v>
      </c>
      <c r="G837" s="246">
        <v>2100</v>
      </c>
      <c r="H837" s="98">
        <f t="shared" si="5"/>
        <v>10500</v>
      </c>
      <c r="I837" s="98">
        <v>12600</v>
      </c>
      <c r="J837" s="98">
        <v>3600</v>
      </c>
      <c r="K837" s="681"/>
    </row>
    <row r="838" spans="1:11" s="19" customFormat="1" ht="17.25">
      <c r="A838" s="185"/>
      <c r="B838" s="260" t="s">
        <v>250</v>
      </c>
      <c r="C838" s="212"/>
      <c r="D838" s="109"/>
      <c r="E838" s="125"/>
      <c r="F838" s="98"/>
      <c r="G838" s="98">
        <v>0</v>
      </c>
      <c r="H838" s="98">
        <f t="shared" si="5"/>
        <v>1500000</v>
      </c>
      <c r="I838" s="98">
        <v>1500000</v>
      </c>
      <c r="J838" s="98">
        <v>250000</v>
      </c>
      <c r="K838" s="681"/>
    </row>
    <row r="839" spans="1:11" s="19" customFormat="1" ht="17.25">
      <c r="A839" s="185"/>
      <c r="B839" s="260" t="s">
        <v>266</v>
      </c>
      <c r="C839" s="212"/>
      <c r="D839" s="109"/>
      <c r="E839" s="125"/>
      <c r="F839" s="98">
        <v>281000</v>
      </c>
      <c r="G839" s="98">
        <v>0</v>
      </c>
      <c r="H839" s="98">
        <f t="shared" si="5"/>
        <v>3000000</v>
      </c>
      <c r="I839" s="98">
        <v>3000000</v>
      </c>
      <c r="J839" s="98">
        <v>250000</v>
      </c>
      <c r="K839" s="681"/>
    </row>
    <row r="840" spans="1:11" s="19" customFormat="1" ht="17.25">
      <c r="A840" s="185"/>
      <c r="B840" s="260" t="s">
        <v>58</v>
      </c>
      <c r="C840" s="212"/>
      <c r="D840" s="109"/>
      <c r="E840" s="125"/>
      <c r="F840" s="347">
        <v>0</v>
      </c>
      <c r="G840" s="98">
        <v>8517</v>
      </c>
      <c r="H840" s="98">
        <f t="shared" si="5"/>
        <v>218904</v>
      </c>
      <c r="I840" s="98">
        <v>227421</v>
      </c>
      <c r="J840" s="98">
        <v>125208</v>
      </c>
      <c r="K840" s="681"/>
    </row>
    <row r="841" spans="1:11" s="19" customFormat="1" ht="17.25">
      <c r="A841" s="185"/>
      <c r="B841" s="260" t="s">
        <v>0</v>
      </c>
      <c r="C841" s="212"/>
      <c r="D841" s="109"/>
      <c r="E841" s="125"/>
      <c r="F841" s="98">
        <v>18430</v>
      </c>
      <c r="G841" s="98">
        <v>0</v>
      </c>
      <c r="H841" s="98">
        <f t="shared" si="5"/>
        <v>135696.42</v>
      </c>
      <c r="I841" s="98">
        <v>135696.42</v>
      </c>
      <c r="J841" s="98">
        <v>41736</v>
      </c>
      <c r="K841" s="681"/>
    </row>
    <row r="842" spans="1:11" s="19" customFormat="1" ht="17.25">
      <c r="A842" s="185"/>
      <c r="B842" s="260" t="s">
        <v>59</v>
      </c>
      <c r="C842" s="212"/>
      <c r="D842" s="109"/>
      <c r="E842" s="125"/>
      <c r="F842" s="98">
        <v>5000</v>
      </c>
      <c r="G842" s="98">
        <v>0</v>
      </c>
      <c r="H842" s="98">
        <f t="shared" si="5"/>
        <v>35000</v>
      </c>
      <c r="I842" s="98">
        <v>35000</v>
      </c>
      <c r="J842" s="98">
        <v>10000</v>
      </c>
      <c r="K842" s="681"/>
    </row>
    <row r="843" spans="1:11" s="19" customFormat="1" ht="17.25">
      <c r="A843" s="185"/>
      <c r="B843" s="260" t="s">
        <v>280</v>
      </c>
      <c r="C843" s="212"/>
      <c r="D843" s="109"/>
      <c r="E843" s="125"/>
      <c r="F843" s="98">
        <v>97879.6</v>
      </c>
      <c r="G843" s="98">
        <v>11979.5</v>
      </c>
      <c r="H843" s="98">
        <f t="shared" si="5"/>
        <v>123716.92000000001</v>
      </c>
      <c r="I843" s="98">
        <v>135696.42</v>
      </c>
      <c r="J843" s="98">
        <v>41736</v>
      </c>
      <c r="K843" s="681"/>
    </row>
    <row r="844" spans="1:11" s="19" customFormat="1" ht="17.25">
      <c r="A844" s="185"/>
      <c r="B844" s="260" t="s">
        <v>60</v>
      </c>
      <c r="C844" s="212"/>
      <c r="D844" s="109"/>
      <c r="E844" s="125"/>
      <c r="F844" s="98">
        <v>75134</v>
      </c>
      <c r="G844" s="98">
        <v>19420</v>
      </c>
      <c r="H844" s="98">
        <f t="shared" si="5"/>
        <v>116276.42000000001</v>
      </c>
      <c r="I844" s="98">
        <v>135696.42</v>
      </c>
      <c r="J844" s="98">
        <v>41736</v>
      </c>
      <c r="K844" s="681"/>
    </row>
    <row r="845" spans="1:11" s="19" customFormat="1" ht="17.25">
      <c r="A845" s="185"/>
      <c r="B845" s="260" t="s">
        <v>485</v>
      </c>
      <c r="C845" s="212"/>
      <c r="D845" s="109"/>
      <c r="E845" s="125"/>
      <c r="F845" s="98">
        <v>94335.36</v>
      </c>
      <c r="G845" s="98">
        <v>13902.61</v>
      </c>
      <c r="H845" s="98">
        <f t="shared" si="5"/>
        <v>181500.22999999998</v>
      </c>
      <c r="I845" s="98">
        <v>195402.84</v>
      </c>
      <c r="J845" s="98">
        <v>60099.84</v>
      </c>
      <c r="K845" s="681"/>
    </row>
    <row r="846" spans="1:11" s="19" customFormat="1" ht="17.25">
      <c r="A846" s="185"/>
      <c r="B846" s="260" t="s">
        <v>61</v>
      </c>
      <c r="C846" s="212"/>
      <c r="D846" s="109"/>
      <c r="E846" s="125"/>
      <c r="F846" s="98">
        <v>6332.16</v>
      </c>
      <c r="G846" s="98">
        <v>777.68</v>
      </c>
      <c r="H846" s="98">
        <f t="shared" si="5"/>
        <v>31789.46</v>
      </c>
      <c r="I846" s="98">
        <v>32567.14</v>
      </c>
      <c r="J846" s="98">
        <v>2400</v>
      </c>
      <c r="K846" s="681"/>
    </row>
    <row r="847" spans="1:11" s="19" customFormat="1" ht="17.25">
      <c r="A847" s="185"/>
      <c r="B847" s="260" t="s">
        <v>62</v>
      </c>
      <c r="C847" s="212"/>
      <c r="D847" s="109"/>
      <c r="E847" s="125"/>
      <c r="F847" s="98">
        <v>10809.44</v>
      </c>
      <c r="G847" s="98">
        <v>1710.87</v>
      </c>
      <c r="H847" s="98">
        <f t="shared" si="5"/>
        <v>22714.49</v>
      </c>
      <c r="I847" s="98">
        <v>24425.36</v>
      </c>
      <c r="J847" s="98">
        <v>8764.560000000001</v>
      </c>
      <c r="K847" s="681"/>
    </row>
    <row r="848" spans="1:11" s="19" customFormat="1" ht="17.25">
      <c r="A848" s="185"/>
      <c r="B848" s="260" t="s">
        <v>262</v>
      </c>
      <c r="C848" s="189"/>
      <c r="D848" s="109"/>
      <c r="E848" s="125"/>
      <c r="F848" s="246">
        <v>4200</v>
      </c>
      <c r="G848" s="246">
        <v>600</v>
      </c>
      <c r="H848" s="98">
        <f t="shared" si="5"/>
        <v>7800</v>
      </c>
      <c r="I848" s="98">
        <v>8400</v>
      </c>
      <c r="J848" s="98">
        <v>2400</v>
      </c>
      <c r="K848" s="681"/>
    </row>
    <row r="849" spans="1:11" s="19" customFormat="1" ht="17.25">
      <c r="A849" s="185"/>
      <c r="B849" s="260" t="s">
        <v>66</v>
      </c>
      <c r="C849" s="189"/>
      <c r="D849" s="109"/>
      <c r="E849" s="125"/>
      <c r="F849" s="246"/>
      <c r="G849" s="246">
        <v>9745.5</v>
      </c>
      <c r="H849" s="98">
        <f t="shared" si="5"/>
        <v>173521.4</v>
      </c>
      <c r="I849" s="98">
        <v>183266.9</v>
      </c>
      <c r="J849" s="98">
        <v>40000</v>
      </c>
      <c r="K849" s="681"/>
    </row>
    <row r="850" spans="1:11" s="19" customFormat="1" ht="17.25">
      <c r="A850" s="185"/>
      <c r="B850" s="260" t="s">
        <v>57</v>
      </c>
      <c r="C850" s="212"/>
      <c r="D850" s="109"/>
      <c r="E850" s="125"/>
      <c r="F850" s="347">
        <v>5000</v>
      </c>
      <c r="G850" s="98">
        <v>0</v>
      </c>
      <c r="H850" s="98">
        <f t="shared" si="5"/>
        <v>35000</v>
      </c>
      <c r="I850" s="98">
        <v>35000</v>
      </c>
      <c r="J850" s="98">
        <v>10000</v>
      </c>
      <c r="K850" s="681"/>
    </row>
    <row r="851" spans="1:11" s="19" customFormat="1" ht="17.25">
      <c r="A851" s="185"/>
      <c r="B851" s="260" t="str">
        <f>B762</f>
        <v>Miscellaneous Personnel Benefit Fund</v>
      </c>
      <c r="C851" s="189"/>
      <c r="D851" s="109"/>
      <c r="E851" s="125"/>
      <c r="F851" s="246"/>
      <c r="G851" s="246"/>
      <c r="H851" s="98"/>
      <c r="I851" s="98"/>
      <c r="J851" s="98">
        <v>150000</v>
      </c>
      <c r="K851" s="681"/>
    </row>
    <row r="852" spans="1:11" s="19" customFormat="1" ht="20.25">
      <c r="A852" s="185"/>
      <c r="B852" s="16" t="s">
        <v>161</v>
      </c>
      <c r="C852" s="189"/>
      <c r="D852" s="109"/>
      <c r="E852" s="125"/>
      <c r="F852" s="356">
        <f>SUM(F833:F850)</f>
        <v>1521221.56</v>
      </c>
      <c r="G852" s="130">
        <f>SUM(G833:G850)</f>
        <v>210700.03999999998</v>
      </c>
      <c r="H852" s="130">
        <f>SUM(H833:H851)</f>
        <v>7414829.46</v>
      </c>
      <c r="I852" s="131">
        <f>SUM(I833:I851)</f>
        <v>7625529.5</v>
      </c>
      <c r="J852" s="971">
        <f>SUM(J833:J851)</f>
        <v>1634512.4000000001</v>
      </c>
      <c r="K852" s="681"/>
    </row>
    <row r="853" spans="1:11" s="19" customFormat="1" ht="20.25">
      <c r="A853" s="185"/>
      <c r="B853" s="137" t="s">
        <v>162</v>
      </c>
      <c r="C853" s="189"/>
      <c r="D853" s="109"/>
      <c r="E853" s="125"/>
      <c r="F853" s="355"/>
      <c r="G853" s="62"/>
      <c r="H853" s="62"/>
      <c r="I853" s="69"/>
      <c r="J853" s="958"/>
      <c r="K853" s="681"/>
    </row>
    <row r="854" spans="1:11" s="19" customFormat="1" ht="17.25">
      <c r="A854" s="185"/>
      <c r="B854" s="260" t="s">
        <v>69</v>
      </c>
      <c r="C854" s="189"/>
      <c r="D854" s="109"/>
      <c r="E854" s="125"/>
      <c r="F854" s="246"/>
      <c r="G854" s="246"/>
      <c r="H854" s="98">
        <v>30000</v>
      </c>
      <c r="I854" s="98">
        <v>30000</v>
      </c>
      <c r="J854" s="98">
        <v>50000</v>
      </c>
      <c r="K854" s="681"/>
    </row>
    <row r="855" spans="1:11" s="19" customFormat="1" ht="17.25">
      <c r="A855" s="185"/>
      <c r="B855" s="260" t="s">
        <v>176</v>
      </c>
      <c r="C855" s="189"/>
      <c r="D855" s="109"/>
      <c r="E855" s="125"/>
      <c r="F855" s="246"/>
      <c r="G855" s="246"/>
      <c r="H855" s="98">
        <v>40000</v>
      </c>
      <c r="I855" s="98">
        <v>40000</v>
      </c>
      <c r="J855" s="98">
        <v>15000</v>
      </c>
      <c r="K855" s="681"/>
    </row>
    <row r="856" spans="1:11" s="19" customFormat="1" ht="17.25">
      <c r="A856" s="185"/>
      <c r="B856" s="260" t="s">
        <v>70</v>
      </c>
      <c r="C856" s="189"/>
      <c r="D856" s="109"/>
      <c r="E856" s="125"/>
      <c r="F856" s="246"/>
      <c r="G856" s="246"/>
      <c r="H856" s="98">
        <v>20000</v>
      </c>
      <c r="I856" s="98">
        <v>20000</v>
      </c>
      <c r="J856" s="98">
        <v>20000</v>
      </c>
      <c r="K856" s="681"/>
    </row>
    <row r="857" spans="1:11" s="19" customFormat="1" ht="17.25">
      <c r="A857" s="185"/>
      <c r="B857" s="260" t="s">
        <v>251</v>
      </c>
      <c r="C857" s="189"/>
      <c r="D857" s="109"/>
      <c r="E857" s="125"/>
      <c r="F857" s="246"/>
      <c r="G857" s="246"/>
      <c r="H857" s="98">
        <v>300000</v>
      </c>
      <c r="I857" s="98">
        <v>300000</v>
      </c>
      <c r="J857" s="98">
        <v>250000</v>
      </c>
      <c r="K857" s="681"/>
    </row>
    <row r="858" spans="1:11" s="19" customFormat="1" ht="17.25">
      <c r="A858" s="185"/>
      <c r="B858" s="260" t="s">
        <v>311</v>
      </c>
      <c r="C858" s="189"/>
      <c r="D858" s="109"/>
      <c r="E858" s="125"/>
      <c r="F858" s="246"/>
      <c r="G858" s="246"/>
      <c r="H858" s="98">
        <v>200000</v>
      </c>
      <c r="I858" s="98">
        <v>200000</v>
      </c>
      <c r="J858" s="98">
        <v>200000</v>
      </c>
      <c r="K858" s="681"/>
    </row>
    <row r="859" spans="1:11" s="19" customFormat="1" ht="17.25">
      <c r="A859" s="185"/>
      <c r="B859" s="260" t="s">
        <v>263</v>
      </c>
      <c r="C859" s="189"/>
      <c r="D859" s="109"/>
      <c r="E859" s="125"/>
      <c r="F859" s="246"/>
      <c r="G859" s="246"/>
      <c r="H859" s="98">
        <v>200000</v>
      </c>
      <c r="I859" s="98">
        <v>200000</v>
      </c>
      <c r="J859" s="98">
        <v>200000</v>
      </c>
      <c r="K859" s="681"/>
    </row>
    <row r="860" spans="1:11" s="19" customFormat="1" ht="17.25">
      <c r="A860" s="185"/>
      <c r="B860" s="260" t="s">
        <v>267</v>
      </c>
      <c r="C860" s="189"/>
      <c r="D860" s="109"/>
      <c r="E860" s="125"/>
      <c r="F860" s="246"/>
      <c r="G860" s="246"/>
      <c r="H860" s="98">
        <v>12000</v>
      </c>
      <c r="I860" s="98">
        <v>12000</v>
      </c>
      <c r="J860" s="98">
        <v>12000</v>
      </c>
      <c r="K860" s="681"/>
    </row>
    <row r="861" spans="1:11" s="19" customFormat="1" ht="17.25">
      <c r="A861" s="185"/>
      <c r="B861" s="260" t="s">
        <v>131</v>
      </c>
      <c r="C861" s="189"/>
      <c r="D861" s="109"/>
      <c r="E861" s="125"/>
      <c r="F861" s="246"/>
      <c r="G861" s="246"/>
      <c r="H861" s="98">
        <v>75000</v>
      </c>
      <c r="I861" s="98">
        <v>75000</v>
      </c>
      <c r="J861" s="98">
        <v>500000</v>
      </c>
      <c r="K861" s="681"/>
    </row>
    <row r="862" spans="1:11" s="19" customFormat="1" ht="17.25">
      <c r="A862" s="185"/>
      <c r="B862" s="260" t="s">
        <v>75</v>
      </c>
      <c r="C862" s="189"/>
      <c r="D862" s="109"/>
      <c r="E862" s="125"/>
      <c r="F862" s="246"/>
      <c r="G862" s="246"/>
      <c r="H862" s="98">
        <v>5000</v>
      </c>
      <c r="I862" s="98">
        <v>5000</v>
      </c>
      <c r="J862" s="98">
        <v>5000</v>
      </c>
      <c r="K862" s="681"/>
    </row>
    <row r="863" spans="1:11" s="19" customFormat="1" ht="17.25">
      <c r="A863" s="185"/>
      <c r="B863" s="260" t="s">
        <v>491</v>
      </c>
      <c r="C863" s="189"/>
      <c r="D863" s="109"/>
      <c r="E863" s="125"/>
      <c r="F863" s="246"/>
      <c r="G863" s="246"/>
      <c r="H863" s="98">
        <v>24000</v>
      </c>
      <c r="I863" s="98">
        <v>24000</v>
      </c>
      <c r="J863" s="98">
        <v>24000</v>
      </c>
      <c r="K863" s="681"/>
    </row>
    <row r="864" spans="1:11" s="19" customFormat="1" ht="17.25">
      <c r="A864" s="185"/>
      <c r="B864" s="405" t="s">
        <v>252</v>
      </c>
      <c r="C864" s="189"/>
      <c r="D864" s="109"/>
      <c r="E864" s="125"/>
      <c r="F864" s="246"/>
      <c r="G864" s="246"/>
      <c r="H864" s="98">
        <v>4800</v>
      </c>
      <c r="I864" s="98">
        <v>4800</v>
      </c>
      <c r="J864" s="98">
        <v>4800</v>
      </c>
      <c r="K864" s="681"/>
    </row>
    <row r="865" spans="1:11" s="19" customFormat="1" ht="17.25">
      <c r="A865" s="185"/>
      <c r="B865" s="260" t="s">
        <v>265</v>
      </c>
      <c r="C865" s="189"/>
      <c r="D865" s="109"/>
      <c r="E865" s="125"/>
      <c r="F865" s="246"/>
      <c r="G865" s="246"/>
      <c r="H865" s="98">
        <v>0</v>
      </c>
      <c r="I865" s="98"/>
      <c r="J865" s="98"/>
      <c r="K865" s="681"/>
    </row>
    <row r="866" spans="1:11" s="19" customFormat="1" ht="17.25">
      <c r="A866" s="185"/>
      <c r="B866" s="260" t="s">
        <v>407</v>
      </c>
      <c r="C866" s="189"/>
      <c r="D866" s="109"/>
      <c r="E866" s="125"/>
      <c r="F866" s="246"/>
      <c r="G866" s="246"/>
      <c r="H866" s="98">
        <v>0</v>
      </c>
      <c r="I866" s="98"/>
      <c r="J866" s="98"/>
      <c r="K866" s="681"/>
    </row>
    <row r="867" spans="1:11" s="19" customFormat="1" ht="17.25">
      <c r="A867" s="185"/>
      <c r="B867" s="260" t="s">
        <v>253</v>
      </c>
      <c r="C867" s="189"/>
      <c r="D867" s="109"/>
      <c r="E867" s="125"/>
      <c r="F867" s="246"/>
      <c r="G867" s="246"/>
      <c r="H867" s="98">
        <v>250000</v>
      </c>
      <c r="I867" s="98">
        <v>250000</v>
      </c>
      <c r="J867" s="98"/>
      <c r="K867" s="681"/>
    </row>
    <row r="868" spans="1:11" s="19" customFormat="1" ht="17.25">
      <c r="A868" s="185"/>
      <c r="B868" s="260" t="s">
        <v>435</v>
      </c>
      <c r="C868" s="189"/>
      <c r="D868" s="109"/>
      <c r="E868" s="125"/>
      <c r="F868" s="246"/>
      <c r="G868" s="246"/>
      <c r="H868" s="98">
        <v>0</v>
      </c>
      <c r="I868" s="98"/>
      <c r="J868" s="98">
        <v>500000</v>
      </c>
      <c r="K868" s="681"/>
    </row>
    <row r="869" spans="1:11" s="19" customFormat="1" ht="17.25">
      <c r="A869" s="185"/>
      <c r="B869" s="405" t="s">
        <v>408</v>
      </c>
      <c r="C869" s="189"/>
      <c r="D869" s="109"/>
      <c r="E869" s="125"/>
      <c r="F869" s="246"/>
      <c r="G869" s="246"/>
      <c r="H869" s="98">
        <v>100000</v>
      </c>
      <c r="I869" s="98">
        <v>100000</v>
      </c>
      <c r="J869" s="98">
        <v>100000</v>
      </c>
      <c r="K869" s="681"/>
    </row>
    <row r="870" spans="1:11" s="19" customFormat="1" ht="18" thickBot="1">
      <c r="A870" s="185"/>
      <c r="B870" s="260" t="s">
        <v>490</v>
      </c>
      <c r="C870" s="189"/>
      <c r="D870" s="109"/>
      <c r="E870" s="125"/>
      <c r="F870" s="246"/>
      <c r="G870" s="246"/>
      <c r="H870" s="98"/>
      <c r="I870" s="98"/>
      <c r="J870" s="98">
        <v>50000</v>
      </c>
      <c r="K870" s="681"/>
    </row>
    <row r="871" spans="1:11" s="19" customFormat="1" ht="21" thickBot="1">
      <c r="A871" s="185"/>
      <c r="B871" s="16" t="s">
        <v>88</v>
      </c>
      <c r="C871" s="189"/>
      <c r="D871" s="109"/>
      <c r="E871" s="125"/>
      <c r="F871" s="392">
        <f>SUM(F854:F870)</f>
        <v>0</v>
      </c>
      <c r="G871" s="393">
        <f>SUM(G854:G870)</f>
        <v>0</v>
      </c>
      <c r="H871" s="393">
        <f>SUM(H854:H870)</f>
        <v>1260800</v>
      </c>
      <c r="I871" s="394">
        <f>SUM(I854:I870)</f>
        <v>1260800</v>
      </c>
      <c r="J871" s="972">
        <f>SUM(J854:J870)</f>
        <v>1930800</v>
      </c>
      <c r="K871" s="681"/>
    </row>
    <row r="872" spans="1:11" s="18" customFormat="1" ht="23.25" customHeight="1" thickBot="1">
      <c r="A872" s="152" t="s">
        <v>95</v>
      </c>
      <c r="B872" s="227"/>
      <c r="C872" s="231"/>
      <c r="D872" s="230"/>
      <c r="E872" s="232"/>
      <c r="F872" s="395">
        <f>F871+F852</f>
        <v>1521221.56</v>
      </c>
      <c r="G872" s="395">
        <f>G871+G852</f>
        <v>210700.03999999998</v>
      </c>
      <c r="H872" s="395">
        <f>H871+H852</f>
        <v>8675629.46</v>
      </c>
      <c r="I872" s="395">
        <f>I871+I852</f>
        <v>8886329.5</v>
      </c>
      <c r="J872" s="973">
        <f>J871+J852</f>
        <v>3565312.4000000004</v>
      </c>
      <c r="K872" s="682"/>
    </row>
    <row r="873" spans="1:11" s="18" customFormat="1" ht="22.5" customHeight="1" thickBot="1">
      <c r="A873" s="396" t="s">
        <v>150</v>
      </c>
      <c r="B873" s="197"/>
      <c r="C873" s="197"/>
      <c r="D873" s="218"/>
      <c r="E873" s="397"/>
      <c r="F873" s="398">
        <f>+F830-F872</f>
        <v>-309048.78</v>
      </c>
      <c r="G873" s="398">
        <f>+G830-G872</f>
        <v>1020644.6399999999</v>
      </c>
      <c r="H873" s="398">
        <f>+H830-H872</f>
        <v>-1006974.1400000006</v>
      </c>
      <c r="I873" s="398">
        <f>I830-I872</f>
        <v>13670.5</v>
      </c>
      <c r="J873" s="974">
        <f>+J830-J872</f>
        <v>34687.59999999963</v>
      </c>
      <c r="K873" s="682"/>
    </row>
    <row r="874" spans="1:11" s="19" customFormat="1" ht="12.75">
      <c r="A874" s="223"/>
      <c r="B874" s="224"/>
      <c r="C874" s="224"/>
      <c r="D874" s="90"/>
      <c r="E874" s="90"/>
      <c r="F874" s="90"/>
      <c r="G874" s="90"/>
      <c r="H874" s="90"/>
      <c r="I874" s="90"/>
      <c r="J874" s="89"/>
      <c r="K874" s="681"/>
    </row>
    <row r="875" spans="1:11" s="241" customFormat="1" ht="20.25">
      <c r="A875" s="228" t="s">
        <v>151</v>
      </c>
      <c r="B875" s="105"/>
      <c r="C875" s="105"/>
      <c r="D875" s="106"/>
      <c r="E875" s="106"/>
      <c r="F875" s="106"/>
      <c r="G875" s="106"/>
      <c r="H875" s="106"/>
      <c r="I875" s="90"/>
      <c r="J875" s="89"/>
      <c r="K875" s="680"/>
    </row>
    <row r="876" spans="1:11" s="241" customFormat="1" ht="17.25">
      <c r="A876" s="104"/>
      <c r="B876" s="105"/>
      <c r="C876" s="105"/>
      <c r="D876" s="106"/>
      <c r="E876" s="106"/>
      <c r="F876" s="106"/>
      <c r="G876" s="106"/>
      <c r="H876" s="106"/>
      <c r="I876" s="90"/>
      <c r="J876" s="89"/>
      <c r="K876" s="680"/>
    </row>
    <row r="877" spans="1:11" s="19" customFormat="1" ht="24">
      <c r="A877" s="1040" t="s">
        <v>268</v>
      </c>
      <c r="B877" s="1041"/>
      <c r="C877" s="1041"/>
      <c r="D877" s="1041"/>
      <c r="E877" s="1041"/>
      <c r="F877" s="709"/>
      <c r="G877" s="1041" t="s">
        <v>166</v>
      </c>
      <c r="H877" s="1041"/>
      <c r="I877" s="1041"/>
      <c r="J877" s="1064"/>
      <c r="K877" s="681"/>
    </row>
    <row r="878" spans="1:11" s="19" customFormat="1" ht="20.25">
      <c r="A878" s="1042" t="s">
        <v>167</v>
      </c>
      <c r="B878" s="1043"/>
      <c r="C878" s="1043"/>
      <c r="D878" s="1043"/>
      <c r="E878" s="1043"/>
      <c r="F878" s="712"/>
      <c r="G878" s="1043" t="s">
        <v>168</v>
      </c>
      <c r="H878" s="1043"/>
      <c r="I878" s="1043"/>
      <c r="J878" s="1065"/>
      <c r="K878" s="681"/>
    </row>
    <row r="879" spans="1:11" s="19" customFormat="1" ht="15">
      <c r="A879" s="258"/>
      <c r="B879" s="259"/>
      <c r="C879" s="259"/>
      <c r="D879" s="259"/>
      <c r="E879" s="259"/>
      <c r="F879" s="712"/>
      <c r="G879" s="259"/>
      <c r="H879" s="34"/>
      <c r="I879" s="34"/>
      <c r="J879" s="963"/>
      <c r="K879" s="681"/>
    </row>
    <row r="880" spans="1:11" s="19" customFormat="1" ht="12.75">
      <c r="A880" s="95"/>
      <c r="B880" s="162"/>
      <c r="C880" s="162"/>
      <c r="D880" s="162"/>
      <c r="E880" s="162"/>
      <c r="F880" s="1048"/>
      <c r="G880" s="1048"/>
      <c r="H880" s="163"/>
      <c r="I880" s="163"/>
      <c r="J880" s="963"/>
      <c r="K880" s="681"/>
    </row>
    <row r="881" spans="1:11" s="19" customFormat="1" ht="52.5" customHeight="1">
      <c r="A881" s="1040" t="s">
        <v>685</v>
      </c>
      <c r="B881" s="1041"/>
      <c r="C881" s="1041"/>
      <c r="D881" s="1041"/>
      <c r="E881" s="1041"/>
      <c r="F881" s="709"/>
      <c r="G881" s="1041" t="s">
        <v>624</v>
      </c>
      <c r="H881" s="1041"/>
      <c r="I881" s="1041"/>
      <c r="J881" s="1064"/>
      <c r="K881" s="681"/>
    </row>
    <row r="882" spans="1:11" s="19" customFormat="1" ht="21" customHeight="1">
      <c r="A882" s="1068" t="s">
        <v>686</v>
      </c>
      <c r="B882" s="1066"/>
      <c r="C882" s="1066"/>
      <c r="D882" s="1066"/>
      <c r="E882" s="1066"/>
      <c r="F882" s="710"/>
      <c r="G882" s="1066" t="s">
        <v>169</v>
      </c>
      <c r="H882" s="1066"/>
      <c r="I882" s="1066"/>
      <c r="J882" s="1067"/>
      <c r="K882" s="681"/>
    </row>
    <row r="883" spans="1:11" s="19" customFormat="1" ht="14.25" customHeight="1">
      <c r="A883" s="165"/>
      <c r="B883" s="162"/>
      <c r="C883" s="162"/>
      <c r="D883" s="162"/>
      <c r="E883" s="162"/>
      <c r="F883" s="162"/>
      <c r="G883" s="162"/>
      <c r="H883" s="163"/>
      <c r="I883" s="163"/>
      <c r="J883" s="963"/>
      <c r="K883" s="681"/>
    </row>
    <row r="884" spans="1:11" s="19" customFormat="1" ht="20.25">
      <c r="A884" s="107" t="s">
        <v>269</v>
      </c>
      <c r="B884" s="75"/>
      <c r="C884" s="250"/>
      <c r="D884" s="253"/>
      <c r="E884" s="253"/>
      <c r="F884" s="716"/>
      <c r="G884" s="253"/>
      <c r="H884" s="75"/>
      <c r="I884" s="75"/>
      <c r="J884" s="60"/>
      <c r="K884" s="681"/>
    </row>
    <row r="885" spans="1:11" s="19" customFormat="1" ht="17.25">
      <c r="A885" s="61"/>
      <c r="B885" s="75"/>
      <c r="C885" s="75"/>
      <c r="D885" s="108"/>
      <c r="E885" s="108"/>
      <c r="F885" s="75"/>
      <c r="G885" s="75"/>
      <c r="H885" s="75"/>
      <c r="I885" s="75"/>
      <c r="J885" s="60"/>
      <c r="K885" s="681"/>
    </row>
    <row r="886" spans="1:11" s="19" customFormat="1" ht="27">
      <c r="A886" s="1055" t="str">
        <f>A797</f>
        <v>WILLIAM E. CALVEZ, CE</v>
      </c>
      <c r="B886" s="1056"/>
      <c r="C886" s="1056"/>
      <c r="D886" s="1056"/>
      <c r="E886" s="1056"/>
      <c r="F886" s="1056"/>
      <c r="G886" s="1056"/>
      <c r="H886" s="1056"/>
      <c r="I886" s="1056"/>
      <c r="J886" s="1057"/>
      <c r="K886" s="681"/>
    </row>
    <row r="887" spans="1:11" s="19" customFormat="1" ht="20.25">
      <c r="A887" s="1052" t="s">
        <v>155</v>
      </c>
      <c r="B887" s="1053"/>
      <c r="C887" s="1053"/>
      <c r="D887" s="1053"/>
      <c r="E887" s="1053"/>
      <c r="F887" s="1053"/>
      <c r="G887" s="1053"/>
      <c r="H887" s="1053"/>
      <c r="I887" s="1053"/>
      <c r="J887" s="1054"/>
      <c r="K887" s="681"/>
    </row>
    <row r="888" spans="1:11" s="19" customFormat="1" ht="12.75">
      <c r="A888" s="167"/>
      <c r="B888" s="30"/>
      <c r="C888" s="30"/>
      <c r="D888" s="30"/>
      <c r="E888" s="30"/>
      <c r="F888" s="30"/>
      <c r="G888" s="30"/>
      <c r="H888" s="30"/>
      <c r="I888" s="30"/>
      <c r="J888" s="925"/>
      <c r="K888" s="681"/>
    </row>
    <row r="889" spans="1:11" s="19" customFormat="1" ht="12.75">
      <c r="A889" s="247"/>
      <c r="B889" s="247"/>
      <c r="C889" s="247"/>
      <c r="D889" s="247"/>
      <c r="E889" s="247"/>
      <c r="F889" s="247"/>
      <c r="G889" s="247"/>
      <c r="H889" s="247"/>
      <c r="I889" s="247"/>
      <c r="J889" s="247"/>
      <c r="K889" s="681"/>
    </row>
    <row r="890" spans="1:11" s="19" customFormat="1" ht="12.75">
      <c r="A890" s="247"/>
      <c r="B890" s="247"/>
      <c r="C890" s="247"/>
      <c r="D890" s="247"/>
      <c r="E890" s="247"/>
      <c r="F890" s="247"/>
      <c r="G890" s="247"/>
      <c r="H890" s="247"/>
      <c r="I890" s="247"/>
      <c r="J890" s="247"/>
      <c r="K890" s="681"/>
    </row>
    <row r="891" spans="1:11" s="19" customFormat="1" ht="12.75">
      <c r="A891" s="247"/>
      <c r="B891" s="247"/>
      <c r="C891" s="247"/>
      <c r="D891" s="247"/>
      <c r="E891" s="247"/>
      <c r="F891" s="247"/>
      <c r="G891" s="247"/>
      <c r="H891" s="247"/>
      <c r="I891" s="247"/>
      <c r="J891" s="247"/>
      <c r="K891" s="681"/>
    </row>
  </sheetData>
  <sheetProtection/>
  <mergeCells count="89">
    <mergeCell ref="A4:J4"/>
    <mergeCell ref="A5:J5"/>
    <mergeCell ref="A6:J6"/>
    <mergeCell ref="G9:I9"/>
    <mergeCell ref="A11:C11"/>
    <mergeCell ref="A13:C13"/>
    <mergeCell ref="I10:I11"/>
    <mergeCell ref="A501:F501"/>
    <mergeCell ref="G501:J501"/>
    <mergeCell ref="A502:F502"/>
    <mergeCell ref="G502:J502"/>
    <mergeCell ref="A128:C128"/>
    <mergeCell ref="A218:C218"/>
    <mergeCell ref="B226:C226"/>
    <mergeCell ref="A521:J521"/>
    <mergeCell ref="A525:J525"/>
    <mergeCell ref="A526:J526"/>
    <mergeCell ref="A527:J527"/>
    <mergeCell ref="F509:G509"/>
    <mergeCell ref="A510:F510"/>
    <mergeCell ref="G510:J510"/>
    <mergeCell ref="A511:F511"/>
    <mergeCell ref="G511:J511"/>
    <mergeCell ref="A520:J520"/>
    <mergeCell ref="G529:I529"/>
    <mergeCell ref="A531:C531"/>
    <mergeCell ref="A533:C533"/>
    <mergeCell ref="A600:D600"/>
    <mergeCell ref="G600:J600"/>
    <mergeCell ref="A601:C601"/>
    <mergeCell ref="G601:J601"/>
    <mergeCell ref="F604:G604"/>
    <mergeCell ref="A605:D605"/>
    <mergeCell ref="G605:J605"/>
    <mergeCell ref="G606:J606"/>
    <mergeCell ref="A611:J611"/>
    <mergeCell ref="A612:J612"/>
    <mergeCell ref="F690:G690"/>
    <mergeCell ref="A617:J617"/>
    <mergeCell ref="A618:J618"/>
    <mergeCell ref="A619:J619"/>
    <mergeCell ref="G621:I621"/>
    <mergeCell ref="A623:C623"/>
    <mergeCell ref="A691:D691"/>
    <mergeCell ref="G691:J691"/>
    <mergeCell ref="G692:J692"/>
    <mergeCell ref="A699:J699"/>
    <mergeCell ref="A700:J700"/>
    <mergeCell ref="A625:C625"/>
    <mergeCell ref="A685:D685"/>
    <mergeCell ref="G685:J685"/>
    <mergeCell ref="A686:C686"/>
    <mergeCell ref="G686:J686"/>
    <mergeCell ref="A886:J886"/>
    <mergeCell ref="A887:J887"/>
    <mergeCell ref="F790:G790"/>
    <mergeCell ref="A797:J797"/>
    <mergeCell ref="A798:J798"/>
    <mergeCell ref="G877:J877"/>
    <mergeCell ref="G878:J878"/>
    <mergeCell ref="G881:J881"/>
    <mergeCell ref="G882:J882"/>
    <mergeCell ref="A882:E882"/>
    <mergeCell ref="A120:C121"/>
    <mergeCell ref="A810:C810"/>
    <mergeCell ref="A812:C812"/>
    <mergeCell ref="F880:G880"/>
    <mergeCell ref="A804:J804"/>
    <mergeCell ref="A805:J805"/>
    <mergeCell ref="A806:J806"/>
    <mergeCell ref="G808:I808"/>
    <mergeCell ref="A713:J713"/>
    <mergeCell ref="A714:J714"/>
    <mergeCell ref="A881:E881"/>
    <mergeCell ref="A877:E877"/>
    <mergeCell ref="A878:E878"/>
    <mergeCell ref="A787:E787"/>
    <mergeCell ref="A788:E788"/>
    <mergeCell ref="A791:E791"/>
    <mergeCell ref="A792:E792"/>
    <mergeCell ref="A692:C692"/>
    <mergeCell ref="G787:J787"/>
    <mergeCell ref="G788:J788"/>
    <mergeCell ref="G791:J791"/>
    <mergeCell ref="G792:J792"/>
    <mergeCell ref="A715:J715"/>
    <mergeCell ref="G717:I717"/>
    <mergeCell ref="A719:C719"/>
    <mergeCell ref="A721:C721"/>
  </mergeCells>
  <printOptions/>
  <pageMargins left="0.49" right="0" top="0.52" bottom="0.5118110236220472" header="0.4330708661417323" footer="0.11811023622047245"/>
  <pageSetup horizontalDpi="600" verticalDpi="600" orientation="portrait" paperSize="5" scale="54" r:id="rId1"/>
  <rowBreaks count="9" manualBreakCount="9">
    <brk id="89" min="1" max="9" man="1"/>
    <brk id="183" min="1" max="9" man="1"/>
    <brk id="273" min="1" max="9" man="1"/>
    <brk id="366" min="1" max="9" man="1"/>
    <brk id="449" min="1" max="9" man="1"/>
    <brk id="522" min="1" max="9" man="1"/>
    <brk id="613" min="1" max="9" man="1"/>
    <brk id="709" min="1" max="9" man="1"/>
    <brk id="800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O1638"/>
  <sheetViews>
    <sheetView tabSelected="1" view="pageBreakPreview" zoomScale="110" zoomScaleNormal="88" zoomScaleSheetLayoutView="110" workbookViewId="0" topLeftCell="A4">
      <selection activeCell="G73" sqref="G73"/>
    </sheetView>
  </sheetViews>
  <sheetFormatPr defaultColWidth="9.140625" defaultRowHeight="12.75"/>
  <cols>
    <col min="1" max="1" width="4.8515625" style="476" customWidth="1"/>
    <col min="2" max="2" width="3.8515625" style="478" customWidth="1"/>
    <col min="3" max="3" width="54.7109375" style="476" customWidth="1"/>
    <col min="4" max="4" width="6.421875" style="477" customWidth="1"/>
    <col min="5" max="5" width="18.7109375" style="478" customWidth="1"/>
    <col min="6" max="6" width="18.00390625" style="811" customWidth="1"/>
    <col min="7" max="7" width="18.7109375" style="476" customWidth="1"/>
    <col min="8" max="8" width="18.8515625" style="479" customWidth="1"/>
    <col min="9" max="9" width="21.7109375" style="864" customWidth="1"/>
    <col min="10" max="10" width="15.28125" style="777" bestFit="1" customWidth="1"/>
    <col min="11" max="11" width="15.7109375" style="777" bestFit="1" customWidth="1"/>
    <col min="12" max="12" width="14.00390625" style="4" customWidth="1"/>
    <col min="13" max="13" width="16.28125" style="4" customWidth="1"/>
    <col min="14" max="14" width="15.28125" style="4" bestFit="1" customWidth="1"/>
    <col min="15" max="15" width="9.28125" style="4" bestFit="1" customWidth="1"/>
    <col min="16" max="16384" width="9.140625" style="4" customWidth="1"/>
  </cols>
  <sheetData>
    <row r="1" ht="9.75" customHeight="1"/>
    <row r="2" ht="13.5" customHeight="1"/>
    <row r="3" spans="1:9" ht="15.75">
      <c r="A3" s="406" t="s">
        <v>281</v>
      </c>
      <c r="B3" s="407"/>
      <c r="C3" s="407"/>
      <c r="D3" s="408"/>
      <c r="E3" s="409"/>
      <c r="F3" s="797"/>
      <c r="G3" s="407"/>
      <c r="H3" s="407"/>
      <c r="I3" s="854"/>
    </row>
    <row r="4" spans="1:9" ht="17.25" customHeight="1">
      <c r="A4" s="410"/>
      <c r="B4" s="411"/>
      <c r="C4" s="411"/>
      <c r="D4" s="412"/>
      <c r="E4" s="413"/>
      <c r="F4" s="11"/>
      <c r="G4" s="411"/>
      <c r="H4" s="411"/>
      <c r="I4" s="855"/>
    </row>
    <row r="5" spans="1:9" ht="17.25" customHeight="1">
      <c r="A5" s="1106" t="s">
        <v>275</v>
      </c>
      <c r="B5" s="1107"/>
      <c r="C5" s="1107"/>
      <c r="D5" s="1107"/>
      <c r="E5" s="1107"/>
      <c r="F5" s="1107"/>
      <c r="G5" s="1107"/>
      <c r="H5" s="1107"/>
      <c r="I5" s="1108"/>
    </row>
    <row r="6" spans="1:9" ht="12.75" customHeight="1">
      <c r="A6" s="1109" t="s">
        <v>274</v>
      </c>
      <c r="B6" s="1110"/>
      <c r="C6" s="1110"/>
      <c r="D6" s="1110"/>
      <c r="E6" s="1110"/>
      <c r="F6" s="1110"/>
      <c r="G6" s="1110"/>
      <c r="H6" s="1110"/>
      <c r="I6" s="1111"/>
    </row>
    <row r="7" spans="1:9" ht="15.75">
      <c r="A7" s="414" t="s">
        <v>464</v>
      </c>
      <c r="B7" s="411"/>
      <c r="C7" s="411"/>
      <c r="D7" s="412"/>
      <c r="E7" s="413"/>
      <c r="F7" s="11"/>
      <c r="G7" s="411"/>
      <c r="H7" s="411"/>
      <c r="I7" s="855"/>
    </row>
    <row r="8" spans="1:9" ht="8.25" customHeight="1">
      <c r="A8" s="410"/>
      <c r="B8" s="411"/>
      <c r="C8" s="411"/>
      <c r="D8" s="412"/>
      <c r="E8" s="413"/>
      <c r="F8" s="11"/>
      <c r="G8" s="411"/>
      <c r="H8" s="411"/>
      <c r="I8" s="855"/>
    </row>
    <row r="9" spans="1:11" s="6" customFormat="1" ht="15.75">
      <c r="A9" s="1112" t="s">
        <v>181</v>
      </c>
      <c r="B9" s="1113"/>
      <c r="C9" s="1114"/>
      <c r="D9" s="415"/>
      <c r="E9" s="416" t="s">
        <v>7</v>
      </c>
      <c r="F9" s="1115" t="s">
        <v>499</v>
      </c>
      <c r="G9" s="1116"/>
      <c r="H9" s="1117"/>
      <c r="I9" s="856" t="s">
        <v>10</v>
      </c>
      <c r="J9" s="778"/>
      <c r="K9" s="778"/>
    </row>
    <row r="10" spans="1:11" s="6" customFormat="1" ht="12.75" customHeight="1">
      <c r="A10" s="1109"/>
      <c r="B10" s="1110"/>
      <c r="C10" s="1111"/>
      <c r="D10" s="417" t="s">
        <v>5</v>
      </c>
      <c r="E10" s="418" t="s">
        <v>498</v>
      </c>
      <c r="F10" s="798" t="s">
        <v>8</v>
      </c>
      <c r="G10" s="419" t="s">
        <v>9</v>
      </c>
      <c r="H10" s="1118" t="s">
        <v>1</v>
      </c>
      <c r="I10" s="813">
        <v>2021</v>
      </c>
      <c r="J10" s="778"/>
      <c r="K10" s="778"/>
    </row>
    <row r="11" spans="1:11" s="6" customFormat="1" ht="15.75">
      <c r="A11" s="1109"/>
      <c r="B11" s="1110"/>
      <c r="C11" s="1111"/>
      <c r="D11" s="417" t="s">
        <v>12</v>
      </c>
      <c r="E11" s="420" t="s">
        <v>14</v>
      </c>
      <c r="F11" s="799" t="s">
        <v>14</v>
      </c>
      <c r="G11" s="421" t="s">
        <v>15</v>
      </c>
      <c r="H11" s="1119"/>
      <c r="I11" s="857" t="s">
        <v>182</v>
      </c>
      <c r="J11" s="778"/>
      <c r="K11" s="778"/>
    </row>
    <row r="12" spans="1:11" s="6" customFormat="1" ht="12.75">
      <c r="A12" s="1095" t="s">
        <v>183</v>
      </c>
      <c r="B12" s="1096"/>
      <c r="C12" s="1097"/>
      <c r="D12" s="422" t="s">
        <v>184</v>
      </c>
      <c r="E12" s="423" t="s">
        <v>185</v>
      </c>
      <c r="F12" s="800" t="s">
        <v>186</v>
      </c>
      <c r="G12" s="424" t="s">
        <v>187</v>
      </c>
      <c r="H12" s="424" t="s">
        <v>188</v>
      </c>
      <c r="I12" s="832" t="s">
        <v>189</v>
      </c>
      <c r="J12" s="778"/>
      <c r="K12" s="778"/>
    </row>
    <row r="13" spans="1:13" ht="14.25" customHeight="1">
      <c r="A13" s="425"/>
      <c r="B13" s="10"/>
      <c r="C13" s="10"/>
      <c r="D13" s="426"/>
      <c r="E13" s="427"/>
      <c r="F13" s="801"/>
      <c r="G13" s="425"/>
      <c r="H13" s="428"/>
      <c r="I13" s="858"/>
      <c r="J13" s="778"/>
      <c r="K13" s="778"/>
      <c r="L13" s="6"/>
      <c r="M13" s="6"/>
    </row>
    <row r="14" spans="1:13" ht="15.75">
      <c r="A14" s="429">
        <v>1</v>
      </c>
      <c r="B14" s="430" t="s">
        <v>190</v>
      </c>
      <c r="C14" s="411"/>
      <c r="D14" s="431"/>
      <c r="E14" s="427"/>
      <c r="F14" s="801"/>
      <c r="G14" s="425"/>
      <c r="H14" s="428"/>
      <c r="I14" s="859"/>
      <c r="J14" s="778"/>
      <c r="K14" s="778"/>
      <c r="L14" s="6"/>
      <c r="M14" s="6"/>
    </row>
    <row r="15" spans="1:13" ht="18">
      <c r="A15" s="410"/>
      <c r="B15" s="432">
        <v>1.1</v>
      </c>
      <c r="C15" s="433" t="s">
        <v>159</v>
      </c>
      <c r="D15" s="431"/>
      <c r="E15" s="427"/>
      <c r="F15" s="801"/>
      <c r="G15" s="425"/>
      <c r="H15" s="428"/>
      <c r="I15" s="859"/>
      <c r="J15" s="778"/>
      <c r="K15" s="778"/>
      <c r="L15" s="6"/>
      <c r="M15" s="6"/>
    </row>
    <row r="16" spans="1:13" ht="15.75">
      <c r="A16" s="410"/>
      <c r="B16" s="411"/>
      <c r="C16" s="411" t="s">
        <v>52</v>
      </c>
      <c r="D16" s="421"/>
      <c r="E16" s="434">
        <f>5841557.6+201556.75</f>
        <v>6043114.35</v>
      </c>
      <c r="F16" s="637">
        <v>1823592.78</v>
      </c>
      <c r="G16" s="434">
        <f>H16-F16</f>
        <v>1992167.22</v>
      </c>
      <c r="H16" s="637">
        <v>3815760</v>
      </c>
      <c r="I16" s="637">
        <v>3830299</v>
      </c>
      <c r="J16" s="778"/>
      <c r="K16" s="778"/>
      <c r="L16" s="6"/>
      <c r="M16" s="6"/>
    </row>
    <row r="17" spans="1:13" ht="15.75">
      <c r="A17" s="410"/>
      <c r="B17" s="411"/>
      <c r="C17" s="411" t="s">
        <v>53</v>
      </c>
      <c r="D17" s="421"/>
      <c r="E17" s="434">
        <f>205675.02+52000</f>
        <v>257675.02</v>
      </c>
      <c r="F17" s="637">
        <v>108000</v>
      </c>
      <c r="G17" s="434">
        <f aca="true" t="shared" si="0" ref="G17:G32">H17-F17</f>
        <v>132000</v>
      </c>
      <c r="H17" s="637">
        <f>2000*10*12</f>
        <v>240000</v>
      </c>
      <c r="I17" s="637">
        <f>2000*10*12</f>
        <v>240000</v>
      </c>
      <c r="J17" s="778"/>
      <c r="K17" s="778"/>
      <c r="L17" s="6"/>
      <c r="M17" s="6"/>
    </row>
    <row r="18" spans="1:13" ht="15.75">
      <c r="A18" s="410"/>
      <c r="B18" s="411"/>
      <c r="C18" s="411" t="s">
        <v>54</v>
      </c>
      <c r="D18" s="421"/>
      <c r="E18" s="434">
        <v>97200</v>
      </c>
      <c r="F18" s="637">
        <v>48600</v>
      </c>
      <c r="G18" s="434">
        <f t="shared" si="0"/>
        <v>48600</v>
      </c>
      <c r="H18" s="637">
        <v>97200</v>
      </c>
      <c r="I18" s="637">
        <v>97200</v>
      </c>
      <c r="J18" s="778"/>
      <c r="K18" s="778"/>
      <c r="L18" s="6"/>
      <c r="M18" s="6"/>
    </row>
    <row r="19" spans="1:13" ht="15.75">
      <c r="A19" s="410"/>
      <c r="B19" s="411"/>
      <c r="C19" s="411" t="s">
        <v>55</v>
      </c>
      <c r="D19" s="421"/>
      <c r="E19" s="434">
        <v>97200</v>
      </c>
      <c r="F19" s="637">
        <v>48600</v>
      </c>
      <c r="G19" s="434">
        <f t="shared" si="0"/>
        <v>48600</v>
      </c>
      <c r="H19" s="637">
        <v>97200</v>
      </c>
      <c r="I19" s="637">
        <v>97200</v>
      </c>
      <c r="J19" s="778"/>
      <c r="K19" s="778"/>
      <c r="L19" s="6"/>
      <c r="M19" s="6"/>
    </row>
    <row r="20" spans="1:13" ht="15.75">
      <c r="A20" s="410"/>
      <c r="B20" s="411"/>
      <c r="C20" s="411" t="s">
        <v>484</v>
      </c>
      <c r="D20" s="421"/>
      <c r="E20" s="434">
        <v>30000</v>
      </c>
      <c r="F20" s="637">
        <v>54000</v>
      </c>
      <c r="G20" s="434">
        <f t="shared" si="0"/>
        <v>6000</v>
      </c>
      <c r="H20" s="637">
        <f>6000*10</f>
        <v>60000</v>
      </c>
      <c r="I20" s="637">
        <f>6000*10</f>
        <v>60000</v>
      </c>
      <c r="J20" s="778"/>
      <c r="K20" s="778"/>
      <c r="L20" s="6"/>
      <c r="M20" s="6"/>
    </row>
    <row r="21" spans="1:13" ht="15.75">
      <c r="A21" s="410"/>
      <c r="B21" s="411"/>
      <c r="C21" s="411" t="s">
        <v>0</v>
      </c>
      <c r="D21" s="421"/>
      <c r="E21" s="434">
        <f>280186+176082</f>
        <v>456268</v>
      </c>
      <c r="F21" s="637">
        <v>0</v>
      </c>
      <c r="G21" s="434">
        <f>H21-F21</f>
        <v>317980</v>
      </c>
      <c r="H21" s="637">
        <f>H24</f>
        <v>317980</v>
      </c>
      <c r="I21" s="637">
        <f>I24</f>
        <v>319191.58</v>
      </c>
      <c r="J21" s="778"/>
      <c r="K21" s="778"/>
      <c r="L21" s="6"/>
      <c r="M21" s="6"/>
    </row>
    <row r="22" spans="1:13" ht="15.75">
      <c r="A22" s="410"/>
      <c r="B22" s="411"/>
      <c r="C22" s="411" t="s">
        <v>59</v>
      </c>
      <c r="D22" s="421"/>
      <c r="E22" s="434">
        <f>40000+10000</f>
        <v>50000</v>
      </c>
      <c r="F22" s="637">
        <v>0</v>
      </c>
      <c r="G22" s="434">
        <f>H22-F22</f>
        <v>50000</v>
      </c>
      <c r="H22" s="637">
        <f>5000*10</f>
        <v>50000</v>
      </c>
      <c r="I22" s="637">
        <f>5000*10</f>
        <v>50000</v>
      </c>
      <c r="J22" s="778"/>
      <c r="K22" s="778"/>
      <c r="L22" s="6"/>
      <c r="M22" s="6"/>
    </row>
    <row r="23" spans="1:13" ht="15.75">
      <c r="A23" s="410"/>
      <c r="B23" s="411"/>
      <c r="C23" s="411" t="s">
        <v>280</v>
      </c>
      <c r="D23" s="421"/>
      <c r="E23" s="434">
        <v>235358.82</v>
      </c>
      <c r="F23" s="637">
        <v>196053.33</v>
      </c>
      <c r="G23" s="434">
        <f>H23-F23</f>
        <v>110433.67000000001</v>
      </c>
      <c r="H23" s="637">
        <v>306487</v>
      </c>
      <c r="I23" s="637">
        <f>I24</f>
        <v>319191.58</v>
      </c>
      <c r="J23" s="778"/>
      <c r="K23" s="778"/>
      <c r="L23" s="6"/>
      <c r="M23" s="6"/>
    </row>
    <row r="24" spans="1:13" ht="15.75">
      <c r="A24" s="410"/>
      <c r="B24" s="411"/>
      <c r="C24" s="411" t="s">
        <v>60</v>
      </c>
      <c r="D24" s="421"/>
      <c r="E24" s="434">
        <f>224263+176082</f>
        <v>400345</v>
      </c>
      <c r="F24" s="637">
        <v>302225</v>
      </c>
      <c r="G24" s="434">
        <f>H24-F24</f>
        <v>15755</v>
      </c>
      <c r="H24" s="637">
        <f>H16/12</f>
        <v>317980</v>
      </c>
      <c r="I24" s="637">
        <v>319191.58</v>
      </c>
      <c r="J24" s="778"/>
      <c r="K24" s="778"/>
      <c r="L24" s="6"/>
      <c r="M24" s="6"/>
    </row>
    <row r="25" spans="1:13" ht="15.75">
      <c r="A25" s="410"/>
      <c r="B25" s="411"/>
      <c r="C25" s="411" t="s">
        <v>485</v>
      </c>
      <c r="D25" s="435"/>
      <c r="E25" s="434">
        <f>409434.77+310556.4</f>
        <v>719991.17</v>
      </c>
      <c r="F25" s="637">
        <v>217602</v>
      </c>
      <c r="G25" s="434">
        <f>H25-F25</f>
        <v>240289.2</v>
      </c>
      <c r="H25" s="637">
        <f>H16*12%</f>
        <v>457891.2</v>
      </c>
      <c r="I25" s="637">
        <f>I16*12%</f>
        <v>459635.88</v>
      </c>
      <c r="J25" s="778"/>
      <c r="K25" s="778"/>
      <c r="L25" s="6"/>
      <c r="M25" s="6"/>
    </row>
    <row r="26" spans="1:13" ht="15.75">
      <c r="A26" s="410"/>
      <c r="B26" s="411"/>
      <c r="C26" s="411" t="s">
        <v>61</v>
      </c>
      <c r="D26" s="435"/>
      <c r="E26" s="434">
        <f>22937.72+21296.08</f>
        <v>44233.8</v>
      </c>
      <c r="F26" s="637">
        <v>6254</v>
      </c>
      <c r="G26" s="434">
        <f t="shared" si="0"/>
        <v>70061.2</v>
      </c>
      <c r="H26" s="637">
        <f>H16*2%</f>
        <v>76315.2</v>
      </c>
      <c r="I26" s="637">
        <f>100*10*12</f>
        <v>12000</v>
      </c>
      <c r="J26" s="778"/>
      <c r="K26" s="778"/>
      <c r="L26" s="6"/>
      <c r="M26" s="6"/>
    </row>
    <row r="27" spans="1:13" ht="15.75">
      <c r="A27" s="410"/>
      <c r="B27" s="411"/>
      <c r="C27" s="411" t="s">
        <v>62</v>
      </c>
      <c r="D27" s="435"/>
      <c r="E27" s="434">
        <f>35394.89+12725</f>
        <v>48119.89</v>
      </c>
      <c r="F27" s="637">
        <v>22310.32</v>
      </c>
      <c r="G27" s="434">
        <f t="shared" si="0"/>
        <v>34926.08</v>
      </c>
      <c r="H27" s="637">
        <f>H16*1.5%</f>
        <v>57236.4</v>
      </c>
      <c r="I27" s="637">
        <f>I16*1.75%</f>
        <v>67030.23250000001</v>
      </c>
      <c r="J27" s="778"/>
      <c r="K27" s="778"/>
      <c r="L27" s="6"/>
      <c r="M27" s="6"/>
    </row>
    <row r="28" spans="1:13" ht="15.75">
      <c r="A28" s="410"/>
      <c r="B28" s="411"/>
      <c r="C28" s="411" t="s">
        <v>262</v>
      </c>
      <c r="D28" s="435"/>
      <c r="E28" s="434">
        <f>10365.87+2600</f>
        <v>12965.87</v>
      </c>
      <c r="F28" s="637">
        <v>5400</v>
      </c>
      <c r="G28" s="434">
        <f t="shared" si="0"/>
        <v>6600</v>
      </c>
      <c r="H28" s="637">
        <f>100*10*12</f>
        <v>12000</v>
      </c>
      <c r="I28" s="637">
        <f>100*10*12</f>
        <v>12000</v>
      </c>
      <c r="J28" s="778"/>
      <c r="K28" s="778"/>
      <c r="L28" s="6"/>
      <c r="M28" s="6"/>
    </row>
    <row r="29" spans="1:13" ht="15.75">
      <c r="A29" s="410"/>
      <c r="B29" s="411"/>
      <c r="C29" s="411" t="s">
        <v>64</v>
      </c>
      <c r="D29" s="435"/>
      <c r="E29" s="434">
        <v>1111089</v>
      </c>
      <c r="F29" s="637">
        <v>0</v>
      </c>
      <c r="G29" s="434">
        <f t="shared" si="0"/>
        <v>200000</v>
      </c>
      <c r="H29" s="637">
        <v>200000</v>
      </c>
      <c r="I29" s="637">
        <v>499922.52</v>
      </c>
      <c r="J29" s="778"/>
      <c r="K29" s="778"/>
      <c r="L29" s="6"/>
      <c r="M29" s="6"/>
    </row>
    <row r="30" spans="1:13" ht="15.75">
      <c r="A30" s="410"/>
      <c r="B30" s="411"/>
      <c r="C30" s="411" t="s">
        <v>66</v>
      </c>
      <c r="D30" s="435"/>
      <c r="E30" s="434">
        <v>200000</v>
      </c>
      <c r="F30" s="637">
        <v>9945.05</v>
      </c>
      <c r="G30" s="434">
        <f t="shared" si="0"/>
        <v>353603.67</v>
      </c>
      <c r="H30" s="637">
        <v>363548.72</v>
      </c>
      <c r="I30" s="637">
        <f>20000*10</f>
        <v>200000</v>
      </c>
      <c r="J30" s="778"/>
      <c r="K30" s="778"/>
      <c r="L30" s="6"/>
      <c r="M30" s="6"/>
    </row>
    <row r="31" spans="1:13" ht="15.75">
      <c r="A31" s="410"/>
      <c r="B31" s="411"/>
      <c r="C31" s="411" t="s">
        <v>57</v>
      </c>
      <c r="D31" s="421"/>
      <c r="E31" s="434">
        <v>40000</v>
      </c>
      <c r="F31" s="637">
        <v>0</v>
      </c>
      <c r="G31" s="434">
        <f>H31-F31</f>
        <v>50000</v>
      </c>
      <c r="H31" s="637">
        <f>5000*10</f>
        <v>50000</v>
      </c>
      <c r="I31" s="637">
        <f>5000*10</f>
        <v>50000</v>
      </c>
      <c r="J31" s="778"/>
      <c r="K31" s="778"/>
      <c r="L31" s="6"/>
      <c r="M31" s="6"/>
    </row>
    <row r="32" spans="1:13" ht="15.75">
      <c r="A32" s="410"/>
      <c r="B32" s="411"/>
      <c r="C32" s="411" t="s">
        <v>294</v>
      </c>
      <c r="D32" s="435"/>
      <c r="E32" s="434">
        <v>95194</v>
      </c>
      <c r="F32" s="637">
        <v>0</v>
      </c>
      <c r="G32" s="434">
        <f t="shared" si="0"/>
        <v>0</v>
      </c>
      <c r="H32" s="637"/>
      <c r="I32" s="637">
        <v>797491.99</v>
      </c>
      <c r="J32" s="778"/>
      <c r="K32" s="778"/>
      <c r="L32" s="6"/>
      <c r="M32" s="6"/>
    </row>
    <row r="33" spans="1:13" ht="15.75">
      <c r="A33" s="410"/>
      <c r="B33" s="411"/>
      <c r="C33" s="411" t="s">
        <v>67</v>
      </c>
      <c r="D33" s="435"/>
      <c r="E33" s="436">
        <f>SUM(E16:E32)</f>
        <v>9938754.92</v>
      </c>
      <c r="F33" s="636">
        <f>SUM(F16:F32)</f>
        <v>2842582.4799999995</v>
      </c>
      <c r="G33" s="436">
        <f>SUM(G16:G32)</f>
        <v>3677016.04</v>
      </c>
      <c r="H33" s="436">
        <f>SUM(H16:H32)</f>
        <v>6519598.5200000005</v>
      </c>
      <c r="I33" s="636">
        <f>SUM(I16:I32)</f>
        <v>7430354.362500001</v>
      </c>
      <c r="J33" s="778"/>
      <c r="K33" s="778"/>
      <c r="L33" s="6"/>
      <c r="M33" s="6"/>
    </row>
    <row r="34" spans="1:9" ht="18.75" customHeight="1">
      <c r="A34" s="410"/>
      <c r="B34" s="411"/>
      <c r="C34" s="411"/>
      <c r="D34" s="421"/>
      <c r="E34" s="413"/>
      <c r="F34" s="739"/>
      <c r="G34" s="437"/>
      <c r="H34" s="434"/>
      <c r="I34" s="637"/>
    </row>
    <row r="35" spans="1:9" ht="14.25" customHeight="1">
      <c r="A35" s="410"/>
      <c r="B35" s="432">
        <v>1.2</v>
      </c>
      <c r="C35" s="411" t="s">
        <v>191</v>
      </c>
      <c r="D35" s="421"/>
      <c r="E35" s="413"/>
      <c r="F35" s="637"/>
      <c r="G35" s="434"/>
      <c r="H35" s="434"/>
      <c r="I35" s="637"/>
    </row>
    <row r="36" spans="1:9" ht="14.25" customHeight="1">
      <c r="A36" s="410"/>
      <c r="B36" s="411"/>
      <c r="C36" s="411"/>
      <c r="D36" s="421"/>
      <c r="E36" s="413"/>
      <c r="F36" s="637"/>
      <c r="G36" s="434"/>
      <c r="H36" s="434"/>
      <c r="I36" s="638"/>
    </row>
    <row r="37" spans="1:9" ht="15.75">
      <c r="A37" s="410"/>
      <c r="B37" s="411"/>
      <c r="C37" s="411" t="s">
        <v>69</v>
      </c>
      <c r="D37" s="421"/>
      <c r="E37" s="438">
        <v>639958.88</v>
      </c>
      <c r="F37" s="802">
        <v>195386.42</v>
      </c>
      <c r="G37" s="434">
        <f aca="true" t="shared" si="1" ref="G37:G47">H37-F37</f>
        <v>454613.57999999996</v>
      </c>
      <c r="H37" s="637">
        <v>650000</v>
      </c>
      <c r="I37" s="637">
        <v>100000</v>
      </c>
    </row>
    <row r="38" spans="1:9" ht="15.75">
      <c r="A38" s="410"/>
      <c r="B38" s="411"/>
      <c r="C38" s="411" t="s">
        <v>176</v>
      </c>
      <c r="D38" s="421"/>
      <c r="E38" s="438">
        <v>225343</v>
      </c>
      <c r="F38" s="802">
        <v>62500</v>
      </c>
      <c r="G38" s="434">
        <f t="shared" si="1"/>
        <v>187500</v>
      </c>
      <c r="H38" s="637">
        <v>250000</v>
      </c>
      <c r="I38" s="637">
        <v>100000</v>
      </c>
    </row>
    <row r="39" spans="1:9" ht="15.75">
      <c r="A39" s="410"/>
      <c r="B39" s="411"/>
      <c r="C39" s="411" t="s">
        <v>70</v>
      </c>
      <c r="D39" s="435"/>
      <c r="E39" s="434">
        <v>91123.39</v>
      </c>
      <c r="F39" s="637">
        <v>34553.58</v>
      </c>
      <c r="G39" s="434">
        <f t="shared" si="1"/>
        <v>65446.42</v>
      </c>
      <c r="H39" s="637">
        <v>100000</v>
      </c>
      <c r="I39" s="637">
        <v>100000</v>
      </c>
    </row>
    <row r="40" spans="1:9" ht="15.75">
      <c r="A40" s="410"/>
      <c r="B40" s="411"/>
      <c r="C40" s="411" t="s">
        <v>486</v>
      </c>
      <c r="D40" s="435"/>
      <c r="E40" s="438">
        <v>99999.73</v>
      </c>
      <c r="F40" s="802">
        <v>25169.9</v>
      </c>
      <c r="G40" s="434">
        <f t="shared" si="1"/>
        <v>74830.1</v>
      </c>
      <c r="H40" s="637">
        <v>100000</v>
      </c>
      <c r="I40" s="637"/>
    </row>
    <row r="41" spans="1:9" ht="15.75">
      <c r="A41" s="410"/>
      <c r="B41" s="411"/>
      <c r="C41" s="411" t="s">
        <v>267</v>
      </c>
      <c r="D41" s="435"/>
      <c r="E41" s="438">
        <v>189631.6</v>
      </c>
      <c r="F41" s="802">
        <v>52373</v>
      </c>
      <c r="G41" s="434">
        <f t="shared" si="1"/>
        <v>147627</v>
      </c>
      <c r="H41" s="637">
        <v>200000</v>
      </c>
      <c r="I41" s="637">
        <v>200000</v>
      </c>
    </row>
    <row r="42" spans="1:14" ht="15.75">
      <c r="A42" s="410"/>
      <c r="B42" s="411"/>
      <c r="C42" s="411" t="s">
        <v>97</v>
      </c>
      <c r="D42" s="435"/>
      <c r="E42" s="434">
        <v>24000</v>
      </c>
      <c r="F42" s="637">
        <v>12000</v>
      </c>
      <c r="G42" s="434">
        <f t="shared" si="1"/>
        <v>12000</v>
      </c>
      <c r="H42" s="637">
        <v>24000</v>
      </c>
      <c r="I42" s="637">
        <v>24000</v>
      </c>
      <c r="L42" s="674"/>
      <c r="M42" s="674"/>
      <c r="N42" s="674"/>
    </row>
    <row r="43" spans="1:9" ht="15.75">
      <c r="A43" s="410"/>
      <c r="B43" s="411"/>
      <c r="C43" s="411" t="s">
        <v>79</v>
      </c>
      <c r="D43" s="435"/>
      <c r="E43" s="438">
        <v>4500000</v>
      </c>
      <c r="F43" s="802">
        <v>3000000</v>
      </c>
      <c r="G43" s="434">
        <f t="shared" si="1"/>
        <v>3000000</v>
      </c>
      <c r="H43" s="637">
        <v>6000000</v>
      </c>
      <c r="I43" s="637">
        <v>6000000</v>
      </c>
    </row>
    <row r="44" spans="1:9" ht="15.75">
      <c r="A44" s="410"/>
      <c r="B44" s="411"/>
      <c r="C44" s="411" t="s">
        <v>80</v>
      </c>
      <c r="D44" s="435"/>
      <c r="E44" s="438">
        <v>47874.1</v>
      </c>
      <c r="F44" s="802">
        <v>0</v>
      </c>
      <c r="G44" s="434">
        <f t="shared" si="1"/>
        <v>58000</v>
      </c>
      <c r="H44" s="637">
        <v>58000</v>
      </c>
      <c r="I44" s="637">
        <v>58000</v>
      </c>
    </row>
    <row r="45" spans="1:9" ht="15.75">
      <c r="A45" s="410"/>
      <c r="B45" s="411"/>
      <c r="C45" s="411" t="s">
        <v>265</v>
      </c>
      <c r="D45" s="435"/>
      <c r="E45" s="434">
        <v>796435</v>
      </c>
      <c r="F45" s="637">
        <v>374597.91</v>
      </c>
      <c r="G45" s="434">
        <f t="shared" si="1"/>
        <v>425402.09</v>
      </c>
      <c r="H45" s="637">
        <v>800000</v>
      </c>
      <c r="I45" s="637">
        <v>800000</v>
      </c>
    </row>
    <row r="46" spans="1:9" ht="15.75">
      <c r="A46" s="410"/>
      <c r="B46" s="411"/>
      <c r="C46" s="609" t="s">
        <v>410</v>
      </c>
      <c r="D46" s="435"/>
      <c r="E46" s="438">
        <v>78341.77</v>
      </c>
      <c r="F46" s="802">
        <v>70025</v>
      </c>
      <c r="G46" s="434">
        <f t="shared" si="1"/>
        <v>129975</v>
      </c>
      <c r="H46" s="637">
        <v>200000</v>
      </c>
      <c r="I46" s="637">
        <v>200000</v>
      </c>
    </row>
    <row r="47" spans="1:9" ht="15.75">
      <c r="A47" s="410"/>
      <c r="B47" s="411"/>
      <c r="C47" s="411" t="s">
        <v>382</v>
      </c>
      <c r="D47" s="435"/>
      <c r="E47" s="438"/>
      <c r="F47" s="802">
        <v>0</v>
      </c>
      <c r="G47" s="434">
        <f t="shared" si="1"/>
        <v>30000</v>
      </c>
      <c r="H47" s="637">
        <v>30000</v>
      </c>
      <c r="I47" s="637">
        <v>100000</v>
      </c>
    </row>
    <row r="48" spans="1:14" ht="20.25" customHeight="1">
      <c r="A48" s="410"/>
      <c r="B48" s="411"/>
      <c r="C48" s="411" t="s">
        <v>192</v>
      </c>
      <c r="D48" s="435"/>
      <c r="E48" s="1141">
        <f>SUM(E37:E47)</f>
        <v>6692707.469999999</v>
      </c>
      <c r="F48" s="803"/>
      <c r="G48" s="1143">
        <f>G37+G38+G42+G39+G45+G46+G43+G44+G47+G40+G41</f>
        <v>4585394.1899999995</v>
      </c>
      <c r="H48" s="769"/>
      <c r="I48" s="1125">
        <f>SUM(I37:I47)</f>
        <v>7682000</v>
      </c>
      <c r="L48" s="674"/>
      <c r="M48" s="674"/>
      <c r="N48" s="674"/>
    </row>
    <row r="49" spans="1:9" ht="15.75">
      <c r="A49" s="410"/>
      <c r="B49" s="411"/>
      <c r="C49" s="411" t="s">
        <v>193</v>
      </c>
      <c r="D49" s="435"/>
      <c r="E49" s="1142"/>
      <c r="F49" s="804">
        <f>SUM(F37:F48)</f>
        <v>3826605.81</v>
      </c>
      <c r="G49" s="1144"/>
      <c r="H49" s="770">
        <f>SUM(H37:H48)</f>
        <v>8412000</v>
      </c>
      <c r="I49" s="1126"/>
    </row>
    <row r="50" spans="1:9" ht="21" customHeight="1">
      <c r="A50" s="429">
        <v>2</v>
      </c>
      <c r="B50" s="411" t="s">
        <v>89</v>
      </c>
      <c r="C50" s="411"/>
      <c r="D50" s="421"/>
      <c r="E50" s="434"/>
      <c r="F50" s="639"/>
      <c r="G50" s="440"/>
      <c r="H50" s="440"/>
      <c r="I50" s="639"/>
    </row>
    <row r="51" spans="1:10" ht="15.75">
      <c r="A51" s="441"/>
      <c r="B51" s="411"/>
      <c r="C51" s="411" t="s">
        <v>194</v>
      </c>
      <c r="D51" s="421"/>
      <c r="E51" s="434"/>
      <c r="F51" s="639"/>
      <c r="G51" s="440">
        <f>H51-F51</f>
        <v>200000</v>
      </c>
      <c r="H51" s="639">
        <v>200000</v>
      </c>
      <c r="I51" s="639"/>
      <c r="J51" s="777">
        <f>I54+I249+I394+I472+I711+I793+I1011</f>
        <v>150000</v>
      </c>
    </row>
    <row r="52" spans="1:9" ht="15.75">
      <c r="A52" s="441"/>
      <c r="B52" s="411"/>
      <c r="C52" s="411" t="s">
        <v>92</v>
      </c>
      <c r="D52" s="421"/>
      <c r="E52" s="434"/>
      <c r="F52" s="639"/>
      <c r="G52" s="440">
        <f>H52-F52</f>
        <v>150000</v>
      </c>
      <c r="H52" s="639">
        <v>150000</v>
      </c>
      <c r="I52" s="639"/>
    </row>
    <row r="53" spans="1:9" ht="15.75">
      <c r="A53" s="441"/>
      <c r="B53" s="411"/>
      <c r="C53" s="411" t="s">
        <v>93</v>
      </c>
      <c r="D53" s="421"/>
      <c r="E53" s="434"/>
      <c r="F53" s="639"/>
      <c r="G53" s="440">
        <f>H53-F53</f>
        <v>2300000</v>
      </c>
      <c r="H53" s="639">
        <v>2300000</v>
      </c>
      <c r="I53" s="639"/>
    </row>
    <row r="54" spans="1:9" ht="15.75">
      <c r="A54" s="410"/>
      <c r="B54" s="411"/>
      <c r="C54" s="411" t="s">
        <v>94</v>
      </c>
      <c r="D54" s="424"/>
      <c r="E54" s="436">
        <f>SUM(E51:E53)</f>
        <v>0</v>
      </c>
      <c r="F54" s="775">
        <f>SUM(F51:F53)</f>
        <v>0</v>
      </c>
      <c r="G54" s="442">
        <f>SUM(G51:G53)</f>
        <v>2650000</v>
      </c>
      <c r="H54" s="442">
        <f>SUM(H51:H53)</f>
        <v>2650000</v>
      </c>
      <c r="I54" s="775">
        <f>SUM(I51:I53)</f>
        <v>0</v>
      </c>
    </row>
    <row r="55" spans="1:9" ht="15.75">
      <c r="A55" s="443" t="s">
        <v>561</v>
      </c>
      <c r="B55" s="444"/>
      <c r="C55" s="444"/>
      <c r="D55" s="445"/>
      <c r="E55" s="446">
        <f>+E54+E48+E33</f>
        <v>16631462.389999999</v>
      </c>
      <c r="F55" s="775">
        <f>F54+F49+F33</f>
        <v>6669188.289999999</v>
      </c>
      <c r="G55" s="442">
        <f>+G54+G48+G33</f>
        <v>10912410.23</v>
      </c>
      <c r="H55" s="447">
        <f>H33+H49+H54</f>
        <v>17581598.52</v>
      </c>
      <c r="I55" s="773">
        <f>I33+I48+I54</f>
        <v>15112354.3625</v>
      </c>
    </row>
    <row r="56" spans="1:9" ht="12" customHeight="1">
      <c r="A56" s="448"/>
      <c r="B56" s="449"/>
      <c r="C56" s="450"/>
      <c r="D56" s="897"/>
      <c r="E56" s="898"/>
      <c r="F56" s="899"/>
      <c r="G56" s="900"/>
      <c r="H56" s="901"/>
      <c r="I56" s="902"/>
    </row>
    <row r="57" spans="1:9" ht="18">
      <c r="A57" s="460" t="s">
        <v>562</v>
      </c>
      <c r="B57" s="455"/>
      <c r="C57" s="456"/>
      <c r="D57" s="903"/>
      <c r="E57" s="904"/>
      <c r="F57" s="905"/>
      <c r="G57" s="906"/>
      <c r="H57" s="907"/>
      <c r="I57" s="908"/>
    </row>
    <row r="58" spans="1:12" ht="15.75">
      <c r="A58" s="410" t="s">
        <v>96</v>
      </c>
      <c r="B58" s="411"/>
      <c r="C58" s="411"/>
      <c r="D58" s="488"/>
      <c r="E58" s="413">
        <v>8169167.39</v>
      </c>
      <c r="F58" s="802">
        <v>2585774.27</v>
      </c>
      <c r="G58" s="434">
        <f aca="true" t="shared" si="2" ref="G58:G81">H58-F58</f>
        <v>3614225.73</v>
      </c>
      <c r="H58" s="637">
        <v>6200000</v>
      </c>
      <c r="I58" s="637">
        <v>6200000</v>
      </c>
      <c r="L58" s="786" t="s">
        <v>623</v>
      </c>
    </row>
    <row r="59" spans="1:9" ht="15.75">
      <c r="A59" s="410" t="s">
        <v>384</v>
      </c>
      <c r="B59" s="411"/>
      <c r="C59" s="411"/>
      <c r="D59" s="488"/>
      <c r="E59" s="413">
        <v>40500</v>
      </c>
      <c r="F59" s="802">
        <v>10500</v>
      </c>
      <c r="G59" s="434">
        <f t="shared" si="2"/>
        <v>39500</v>
      </c>
      <c r="H59" s="637">
        <v>50000</v>
      </c>
      <c r="I59" s="637">
        <v>50000</v>
      </c>
    </row>
    <row r="60" spans="1:9" ht="15.75">
      <c r="A60" s="410" t="s">
        <v>263</v>
      </c>
      <c r="B60" s="410"/>
      <c r="C60" s="410"/>
      <c r="D60" s="488"/>
      <c r="E60" s="413">
        <f>3469439.59+3500000</f>
        <v>6969439.59</v>
      </c>
      <c r="F60" s="802">
        <f>703940+2712500</f>
        <v>3416440</v>
      </c>
      <c r="G60" s="434">
        <f t="shared" si="2"/>
        <v>3433560</v>
      </c>
      <c r="H60" s="637">
        <v>6850000</v>
      </c>
      <c r="I60" s="637">
        <v>5000000</v>
      </c>
    </row>
    <row r="61" spans="1:9" ht="15.75">
      <c r="A61" s="410" t="s">
        <v>97</v>
      </c>
      <c r="B61" s="411"/>
      <c r="C61" s="411"/>
      <c r="D61" s="488"/>
      <c r="E61" s="413">
        <v>372364.29</v>
      </c>
      <c r="F61" s="802">
        <v>119718.39</v>
      </c>
      <c r="G61" s="434">
        <f t="shared" si="2"/>
        <v>80281.61</v>
      </c>
      <c r="H61" s="637">
        <v>200000</v>
      </c>
      <c r="I61" s="637">
        <v>300000</v>
      </c>
    </row>
    <row r="62" spans="1:9" ht="15.75">
      <c r="A62" s="410" t="s">
        <v>99</v>
      </c>
      <c r="B62" s="411"/>
      <c r="C62" s="493"/>
      <c r="D62" s="488"/>
      <c r="E62" s="413">
        <v>1988030</v>
      </c>
      <c r="F62" s="802">
        <v>440657</v>
      </c>
      <c r="G62" s="434">
        <f t="shared" si="2"/>
        <v>1559343</v>
      </c>
      <c r="H62" s="637">
        <v>2000000</v>
      </c>
      <c r="I62" s="637">
        <v>3000000</v>
      </c>
    </row>
    <row r="63" spans="1:9" ht="15.75">
      <c r="A63" s="410" t="s">
        <v>100</v>
      </c>
      <c r="B63" s="411"/>
      <c r="C63" s="411"/>
      <c r="D63" s="488"/>
      <c r="E63" s="413">
        <v>644859.4</v>
      </c>
      <c r="F63" s="802">
        <v>4248.19</v>
      </c>
      <c r="G63" s="434">
        <f t="shared" si="2"/>
        <v>145751.81</v>
      </c>
      <c r="H63" s="637">
        <v>150000</v>
      </c>
      <c r="I63" s="637">
        <v>50000</v>
      </c>
    </row>
    <row r="64" spans="1:9" ht="15.75">
      <c r="A64" s="410" t="s">
        <v>102</v>
      </c>
      <c r="B64" s="411"/>
      <c r="C64" s="493"/>
      <c r="D64" s="488"/>
      <c r="E64" s="413"/>
      <c r="F64" s="802"/>
      <c r="G64" s="434">
        <f t="shared" si="2"/>
        <v>16000</v>
      </c>
      <c r="H64" s="637">
        <v>16000</v>
      </c>
      <c r="I64" s="637">
        <v>16000</v>
      </c>
    </row>
    <row r="65" spans="1:9" ht="15.75">
      <c r="A65" s="410" t="s">
        <v>103</v>
      </c>
      <c r="B65" s="411"/>
      <c r="C65" s="493"/>
      <c r="D65" s="488"/>
      <c r="E65" s="413">
        <v>97350</v>
      </c>
      <c r="F65" s="802"/>
      <c r="G65" s="434">
        <f t="shared" si="2"/>
        <v>100000</v>
      </c>
      <c r="H65" s="637">
        <v>100000</v>
      </c>
      <c r="I65" s="637">
        <v>100000</v>
      </c>
    </row>
    <row r="66" spans="1:9" ht="15.75">
      <c r="A66" s="410" t="s">
        <v>104</v>
      </c>
      <c r="B66" s="411"/>
      <c r="C66" s="493"/>
      <c r="D66" s="488"/>
      <c r="E66" s="413">
        <v>171600</v>
      </c>
      <c r="F66" s="802">
        <v>148000</v>
      </c>
      <c r="G66" s="434">
        <f t="shared" si="2"/>
        <v>52000</v>
      </c>
      <c r="H66" s="637">
        <v>200000</v>
      </c>
      <c r="I66" s="637">
        <v>200000</v>
      </c>
    </row>
    <row r="67" spans="1:9" ht="15.75">
      <c r="A67" s="410" t="s">
        <v>106</v>
      </c>
      <c r="B67" s="411"/>
      <c r="C67" s="574"/>
      <c r="D67" s="490"/>
      <c r="E67" s="438"/>
      <c r="F67" s="802"/>
      <c r="G67" s="434">
        <f t="shared" si="2"/>
        <v>250000</v>
      </c>
      <c r="H67" s="637">
        <v>250000</v>
      </c>
      <c r="I67" s="637">
        <v>250000</v>
      </c>
    </row>
    <row r="68" spans="1:9" ht="15.75">
      <c r="A68" s="410" t="s">
        <v>107</v>
      </c>
      <c r="B68" s="411"/>
      <c r="C68" s="574"/>
      <c r="D68" s="490"/>
      <c r="E68" s="438">
        <v>123370</v>
      </c>
      <c r="F68" s="802">
        <v>17800</v>
      </c>
      <c r="G68" s="434">
        <f t="shared" si="2"/>
        <v>482200</v>
      </c>
      <c r="H68" s="637">
        <v>500000</v>
      </c>
      <c r="I68" s="637">
        <v>500000</v>
      </c>
    </row>
    <row r="69" spans="1:9" ht="15.75">
      <c r="A69" s="410" t="s">
        <v>389</v>
      </c>
      <c r="B69" s="411"/>
      <c r="C69" s="574"/>
      <c r="D69" s="490"/>
      <c r="E69" s="438"/>
      <c r="F69" s="802"/>
      <c r="G69" s="434"/>
      <c r="H69" s="637"/>
      <c r="I69" s="637">
        <v>150000</v>
      </c>
    </row>
    <row r="70" spans="1:11" ht="15.75">
      <c r="A70" s="410" t="s">
        <v>308</v>
      </c>
      <c r="B70" s="574"/>
      <c r="C70" s="411"/>
      <c r="D70" s="490"/>
      <c r="E70" s="438">
        <v>150000</v>
      </c>
      <c r="F70" s="802"/>
      <c r="G70" s="434">
        <f t="shared" si="2"/>
        <v>150000</v>
      </c>
      <c r="H70" s="637">
        <v>150000</v>
      </c>
      <c r="I70" s="637">
        <v>200000</v>
      </c>
      <c r="K70" s="777">
        <v>150000</v>
      </c>
    </row>
    <row r="71" spans="1:9" ht="15.75">
      <c r="A71" s="410" t="s">
        <v>109</v>
      </c>
      <c r="B71" s="574"/>
      <c r="C71" s="411"/>
      <c r="D71" s="488"/>
      <c r="E71" s="413">
        <v>6875</v>
      </c>
      <c r="F71" s="802"/>
      <c r="G71" s="434">
        <f t="shared" si="2"/>
        <v>50000</v>
      </c>
      <c r="H71" s="637">
        <v>50000</v>
      </c>
      <c r="I71" s="637">
        <v>50000</v>
      </c>
    </row>
    <row r="72" spans="1:9" ht="15.75">
      <c r="A72" s="410" t="s">
        <v>293</v>
      </c>
      <c r="B72" s="574"/>
      <c r="C72" s="411"/>
      <c r="D72" s="488"/>
      <c r="E72" s="413">
        <v>124000</v>
      </c>
      <c r="F72" s="802"/>
      <c r="G72" s="434">
        <f t="shared" si="2"/>
        <v>150000</v>
      </c>
      <c r="H72" s="637">
        <v>150000</v>
      </c>
      <c r="I72" s="637">
        <v>150000</v>
      </c>
    </row>
    <row r="73" spans="1:9" ht="15.75">
      <c r="A73" s="586" t="s">
        <v>110</v>
      </c>
      <c r="B73" s="587"/>
      <c r="C73" s="588"/>
      <c r="D73" s="488"/>
      <c r="E73" s="434">
        <v>244560</v>
      </c>
      <c r="F73" s="807"/>
      <c r="G73" s="434">
        <f t="shared" si="2"/>
        <v>150000</v>
      </c>
      <c r="H73" s="637">
        <v>150000</v>
      </c>
      <c r="I73" s="637">
        <v>150000</v>
      </c>
    </row>
    <row r="74" spans="1:9" ht="15.75">
      <c r="A74" s="586" t="s">
        <v>257</v>
      </c>
      <c r="B74" s="587"/>
      <c r="C74" s="588"/>
      <c r="D74" s="485"/>
      <c r="E74" s="434">
        <v>996771.6</v>
      </c>
      <c r="F74" s="807">
        <v>319737.76</v>
      </c>
      <c r="G74" s="434">
        <f t="shared" si="2"/>
        <v>1180262.24</v>
      </c>
      <c r="H74" s="637">
        <v>1500000</v>
      </c>
      <c r="I74" s="637">
        <v>2000000</v>
      </c>
    </row>
    <row r="75" spans="1:9" ht="15.75">
      <c r="A75" s="586" t="s">
        <v>258</v>
      </c>
      <c r="B75" s="587"/>
      <c r="C75" s="588"/>
      <c r="D75" s="485"/>
      <c r="E75" s="434">
        <v>59500</v>
      </c>
      <c r="F75" s="807">
        <v>59200</v>
      </c>
      <c r="G75" s="434">
        <f t="shared" si="2"/>
        <v>800</v>
      </c>
      <c r="H75" s="637">
        <v>60000</v>
      </c>
      <c r="I75" s="637">
        <v>60000</v>
      </c>
    </row>
    <row r="76" spans="1:9" ht="18">
      <c r="A76" s="410" t="s">
        <v>459</v>
      </c>
      <c r="B76" s="587"/>
      <c r="C76" s="588"/>
      <c r="D76" s="485"/>
      <c r="E76" s="434"/>
      <c r="F76" s="808">
        <v>0</v>
      </c>
      <c r="G76" s="434">
        <f t="shared" si="2"/>
        <v>3945067</v>
      </c>
      <c r="H76" s="651">
        <v>3945067</v>
      </c>
      <c r="I76" s="651">
        <v>2900000</v>
      </c>
    </row>
    <row r="77" spans="1:9" ht="15.75">
      <c r="A77" s="410" t="s">
        <v>460</v>
      </c>
      <c r="B77" s="587"/>
      <c r="C77" s="588"/>
      <c r="D77" s="485"/>
      <c r="E77" s="434"/>
      <c r="F77" s="807">
        <v>140636.57</v>
      </c>
      <c r="G77" s="434">
        <f t="shared" si="2"/>
        <v>1661194.43</v>
      </c>
      <c r="H77" s="651">
        <v>1801831</v>
      </c>
      <c r="I77" s="651">
        <v>1600000</v>
      </c>
    </row>
    <row r="78" spans="1:9" ht="15.75">
      <c r="A78" s="410" t="s">
        <v>291</v>
      </c>
      <c r="B78" s="587"/>
      <c r="C78" s="588"/>
      <c r="D78" s="485"/>
      <c r="E78" s="434">
        <f>12777523.45+591430+1660555</f>
        <v>15029508.45</v>
      </c>
      <c r="F78" s="807">
        <v>7512160</v>
      </c>
      <c r="G78" s="434">
        <f t="shared" si="2"/>
        <v>7287840</v>
      </c>
      <c r="H78" s="637">
        <v>14800000</v>
      </c>
      <c r="I78" s="637">
        <v>13000000</v>
      </c>
    </row>
    <row r="79" spans="1:9" ht="15.75">
      <c r="A79" s="586" t="s">
        <v>287</v>
      </c>
      <c r="B79" s="587"/>
      <c r="C79" s="588"/>
      <c r="D79" s="485"/>
      <c r="E79" s="413">
        <v>420350</v>
      </c>
      <c r="F79" s="637">
        <v>186000</v>
      </c>
      <c r="G79" s="434">
        <f t="shared" si="2"/>
        <v>634000</v>
      </c>
      <c r="H79" s="637">
        <v>820000</v>
      </c>
      <c r="I79" s="637">
        <v>800000</v>
      </c>
    </row>
    <row r="80" spans="1:9" ht="15.75">
      <c r="A80" s="586" t="s">
        <v>295</v>
      </c>
      <c r="B80" s="587"/>
      <c r="C80" s="588"/>
      <c r="D80" s="485"/>
      <c r="E80" s="413">
        <f>79345+314000</f>
        <v>393345</v>
      </c>
      <c r="F80" s="637"/>
      <c r="G80" s="434">
        <f t="shared" si="2"/>
        <v>100000</v>
      </c>
      <c r="H80" s="637">
        <v>100000</v>
      </c>
      <c r="I80" s="637">
        <v>100000</v>
      </c>
    </row>
    <row r="81" spans="1:9" ht="15.75">
      <c r="A81" s="586" t="s">
        <v>461</v>
      </c>
      <c r="B81" s="587"/>
      <c r="C81" s="588"/>
      <c r="D81" s="589"/>
      <c r="E81" s="590">
        <v>97035</v>
      </c>
      <c r="F81" s="809">
        <v>117396</v>
      </c>
      <c r="G81" s="434">
        <f t="shared" si="2"/>
        <v>882604</v>
      </c>
      <c r="H81" s="637">
        <v>1000000</v>
      </c>
      <c r="I81" s="637">
        <v>500000</v>
      </c>
    </row>
    <row r="82" spans="1:9" ht="15.75">
      <c r="A82" s="586" t="s">
        <v>564</v>
      </c>
      <c r="B82" s="587"/>
      <c r="C82" s="588"/>
      <c r="D82" s="485"/>
      <c r="E82" s="413">
        <v>148900</v>
      </c>
      <c r="F82" s="637">
        <v>135000</v>
      </c>
      <c r="G82" s="434">
        <f>H82-F82</f>
        <v>15000</v>
      </c>
      <c r="H82" s="637">
        <v>150000</v>
      </c>
      <c r="I82" s="637">
        <v>250000</v>
      </c>
    </row>
    <row r="83" spans="1:9" ht="15.75">
      <c r="A83" s="410" t="s">
        <v>98</v>
      </c>
      <c r="B83" s="411"/>
      <c r="C83" s="411"/>
      <c r="D83" s="488"/>
      <c r="E83" s="413">
        <v>98213</v>
      </c>
      <c r="F83" s="802"/>
      <c r="G83" s="434">
        <f aca="true" t="shared" si="3" ref="G83:G92">H83-F83</f>
        <v>200000</v>
      </c>
      <c r="H83" s="637">
        <v>200000</v>
      </c>
      <c r="I83" s="637"/>
    </row>
    <row r="84" spans="1:11" s="8" customFormat="1" ht="13.5" customHeight="1">
      <c r="A84" s="410" t="s">
        <v>108</v>
      </c>
      <c r="B84" s="574"/>
      <c r="C84" s="411"/>
      <c r="D84" s="490"/>
      <c r="E84" s="438">
        <v>760493</v>
      </c>
      <c r="F84" s="802"/>
      <c r="G84" s="434">
        <f t="shared" si="3"/>
        <v>0</v>
      </c>
      <c r="H84" s="637"/>
      <c r="I84" s="637"/>
      <c r="J84" s="781"/>
      <c r="K84" s="781"/>
    </row>
    <row r="85" spans="1:11" s="8" customFormat="1" ht="15.75">
      <c r="A85" s="410" t="s">
        <v>388</v>
      </c>
      <c r="B85" s="574"/>
      <c r="C85" s="411"/>
      <c r="D85" s="490"/>
      <c r="E85" s="438">
        <v>2986160</v>
      </c>
      <c r="F85" s="802"/>
      <c r="G85" s="434">
        <f t="shared" si="3"/>
        <v>0</v>
      </c>
      <c r="H85" s="637"/>
      <c r="I85" s="637"/>
      <c r="J85" s="781"/>
      <c r="K85" s="781"/>
    </row>
    <row r="86" spans="1:9" ht="15.75">
      <c r="A86" s="586" t="s">
        <v>393</v>
      </c>
      <c r="B86" s="587"/>
      <c r="C86" s="588"/>
      <c r="D86" s="488"/>
      <c r="E86" s="434">
        <v>250000</v>
      </c>
      <c r="F86" s="807"/>
      <c r="G86" s="434">
        <f t="shared" si="3"/>
        <v>0</v>
      </c>
      <c r="H86" s="637"/>
      <c r="I86" s="637"/>
    </row>
    <row r="87" spans="1:9" ht="15.75">
      <c r="A87" s="586" t="s">
        <v>113</v>
      </c>
      <c r="B87" s="587"/>
      <c r="C87" s="588"/>
      <c r="D87" s="485"/>
      <c r="E87" s="434">
        <v>1662750</v>
      </c>
      <c r="F87" s="807"/>
      <c r="G87" s="434">
        <f t="shared" si="3"/>
        <v>0</v>
      </c>
      <c r="H87" s="637">
        <v>0</v>
      </c>
      <c r="I87" s="637">
        <v>1600000</v>
      </c>
    </row>
    <row r="88" spans="1:11" s="8" customFormat="1" ht="15.75">
      <c r="A88" s="586" t="s">
        <v>395</v>
      </c>
      <c r="B88" s="587"/>
      <c r="C88" s="588"/>
      <c r="D88" s="485"/>
      <c r="E88" s="434">
        <f>200000+946331.68</f>
        <v>1146331.6800000002</v>
      </c>
      <c r="F88" s="807"/>
      <c r="G88" s="434">
        <f t="shared" si="3"/>
        <v>0</v>
      </c>
      <c r="H88" s="637"/>
      <c r="I88" s="637"/>
      <c r="J88" s="781"/>
      <c r="K88" s="781"/>
    </row>
    <row r="89" spans="1:11" s="8" customFormat="1" ht="15.75">
      <c r="A89" s="586" t="s">
        <v>392</v>
      </c>
      <c r="B89" s="587"/>
      <c r="C89" s="588"/>
      <c r="D89" s="485"/>
      <c r="E89" s="413">
        <v>948643.09</v>
      </c>
      <c r="F89" s="637"/>
      <c r="G89" s="434">
        <f t="shared" si="3"/>
        <v>1000000</v>
      </c>
      <c r="H89" s="637">
        <v>1000000</v>
      </c>
      <c r="I89" s="637"/>
      <c r="J89" s="781"/>
      <c r="K89" s="781"/>
    </row>
    <row r="90" spans="1:11" s="8" customFormat="1" ht="15.75">
      <c r="A90" s="586" t="s">
        <v>454</v>
      </c>
      <c r="B90" s="587"/>
      <c r="C90" s="588"/>
      <c r="D90" s="485"/>
      <c r="E90" s="413"/>
      <c r="F90" s="637"/>
      <c r="G90" s="434">
        <f t="shared" si="3"/>
        <v>260000</v>
      </c>
      <c r="H90" s="637">
        <v>260000</v>
      </c>
      <c r="I90" s="637"/>
      <c r="J90" s="781"/>
      <c r="K90" s="781"/>
    </row>
    <row r="91" spans="1:11" s="8" customFormat="1" ht="15.75">
      <c r="A91" s="586" t="s">
        <v>618</v>
      </c>
      <c r="B91" s="587"/>
      <c r="C91" s="588"/>
      <c r="D91" s="485"/>
      <c r="E91" s="413"/>
      <c r="F91" s="637"/>
      <c r="G91" s="434">
        <f t="shared" si="3"/>
        <v>550000</v>
      </c>
      <c r="H91" s="637">
        <v>550000</v>
      </c>
      <c r="I91" s="637"/>
      <c r="J91" s="781"/>
      <c r="K91" s="781"/>
    </row>
    <row r="92" spans="1:11" s="8" customFormat="1" ht="15.75">
      <c r="A92" s="776" t="s">
        <v>619</v>
      </c>
      <c r="B92" s="587"/>
      <c r="C92" s="588"/>
      <c r="D92" s="485"/>
      <c r="E92" s="413"/>
      <c r="F92" s="637">
        <v>18999825</v>
      </c>
      <c r="G92" s="434">
        <f t="shared" si="3"/>
        <v>250</v>
      </c>
      <c r="H92" s="637">
        <v>19000075</v>
      </c>
      <c r="I92" s="637"/>
      <c r="J92" s="781"/>
      <c r="K92" s="781"/>
    </row>
    <row r="93" spans="1:9" ht="15.75">
      <c r="A93" s="586" t="s">
        <v>502</v>
      </c>
      <c r="B93" s="587"/>
      <c r="C93" s="588"/>
      <c r="D93" s="485"/>
      <c r="E93" s="413"/>
      <c r="F93" s="637"/>
      <c r="G93" s="434"/>
      <c r="H93" s="637"/>
      <c r="I93" s="637">
        <v>200000</v>
      </c>
    </row>
    <row r="94" spans="1:9" ht="15.75">
      <c r="A94" s="982" t="s">
        <v>503</v>
      </c>
      <c r="B94" s="602"/>
      <c r="C94" s="738"/>
      <c r="D94" s="566"/>
      <c r="E94" s="565"/>
      <c r="F94" s="647"/>
      <c r="G94" s="494"/>
      <c r="H94" s="647"/>
      <c r="I94" s="647">
        <f>11600000-1200000</f>
        <v>10400000</v>
      </c>
    </row>
    <row r="95" spans="1:9" ht="15.75">
      <c r="A95" s="406" t="s">
        <v>281</v>
      </c>
      <c r="B95" s="744"/>
      <c r="C95" s="744"/>
      <c r="D95" s="977"/>
      <c r="E95" s="409"/>
      <c r="F95" s="894"/>
      <c r="G95" s="409"/>
      <c r="H95" s="894"/>
      <c r="I95" s="895"/>
    </row>
    <row r="96" spans="1:9" ht="15.75">
      <c r="A96" s="586" t="s">
        <v>76</v>
      </c>
      <c r="B96" s="587"/>
      <c r="C96" s="587"/>
      <c r="D96" s="976"/>
      <c r="E96" s="413"/>
      <c r="F96" s="648"/>
      <c r="G96" s="413"/>
      <c r="H96" s="648"/>
      <c r="I96" s="651"/>
    </row>
    <row r="97" spans="1:9" ht="15.75">
      <c r="A97" s="586"/>
      <c r="B97" s="587"/>
      <c r="C97" s="587"/>
      <c r="D97" s="976"/>
      <c r="E97" s="413"/>
      <c r="F97" s="648"/>
      <c r="G97" s="413"/>
      <c r="H97" s="648"/>
      <c r="I97" s="651"/>
    </row>
    <row r="98" spans="1:9" ht="15.75">
      <c r="A98" s="982"/>
      <c r="B98" s="602"/>
      <c r="C98" s="602"/>
      <c r="D98" s="564"/>
      <c r="E98" s="565"/>
      <c r="F98" s="649"/>
      <c r="G98" s="565"/>
      <c r="H98" s="649"/>
      <c r="I98" s="825"/>
    </row>
    <row r="99" spans="1:9" ht="15.75">
      <c r="A99" s="586" t="s">
        <v>627</v>
      </c>
      <c r="B99" s="587"/>
      <c r="C99" s="587"/>
      <c r="D99" s="485"/>
      <c r="E99" s="413"/>
      <c r="F99" s="637"/>
      <c r="G99" s="434"/>
      <c r="H99" s="637"/>
      <c r="I99" s="637">
        <v>1900000</v>
      </c>
    </row>
    <row r="100" spans="1:9" ht="15.75">
      <c r="A100" s="586" t="s">
        <v>677</v>
      </c>
      <c r="B100" s="587"/>
      <c r="C100" s="587"/>
      <c r="D100" s="485"/>
      <c r="E100" s="413"/>
      <c r="F100" s="637"/>
      <c r="G100" s="434"/>
      <c r="H100" s="637"/>
      <c r="I100" s="637">
        <v>500000</v>
      </c>
    </row>
    <row r="101" spans="1:11" s="2" customFormat="1" ht="18" customHeight="1">
      <c r="A101" s="414" t="s">
        <v>284</v>
      </c>
      <c r="B101" s="563"/>
      <c r="C101" s="591"/>
      <c r="D101" s="584"/>
      <c r="E101" s="979"/>
      <c r="F101" s="650"/>
      <c r="G101" s="542"/>
      <c r="H101" s="542"/>
      <c r="I101" s="650"/>
      <c r="J101" s="782"/>
      <c r="K101" s="782"/>
    </row>
    <row r="102" spans="1:9" ht="15.75">
      <c r="A102" s="592"/>
      <c r="B102" s="587" t="s">
        <v>135</v>
      </c>
      <c r="C102" s="593"/>
      <c r="D102" s="488"/>
      <c r="E102" s="413">
        <v>191031.83</v>
      </c>
      <c r="F102" s="637">
        <v>5200</v>
      </c>
      <c r="G102" s="434">
        <f aca="true" t="shared" si="4" ref="G102:G109">H102-F102</f>
        <v>194800</v>
      </c>
      <c r="H102" s="637">
        <v>200000</v>
      </c>
      <c r="I102" s="637">
        <v>200000</v>
      </c>
    </row>
    <row r="103" spans="1:9" ht="15.75">
      <c r="A103" s="592"/>
      <c r="B103" s="411" t="s">
        <v>136</v>
      </c>
      <c r="C103" s="493"/>
      <c r="D103" s="488"/>
      <c r="E103" s="413">
        <v>0</v>
      </c>
      <c r="F103" s="637"/>
      <c r="G103" s="434">
        <f t="shared" si="4"/>
        <v>50000</v>
      </c>
      <c r="H103" s="637">
        <v>50000</v>
      </c>
      <c r="I103" s="637">
        <v>50000</v>
      </c>
    </row>
    <row r="104" spans="1:9" ht="15.75">
      <c r="A104" s="592"/>
      <c r="B104" s="411" t="s">
        <v>137</v>
      </c>
      <c r="C104" s="493"/>
      <c r="D104" s="488"/>
      <c r="E104" s="413">
        <v>90843.62</v>
      </c>
      <c r="F104" s="637">
        <v>23168</v>
      </c>
      <c r="G104" s="434">
        <f t="shared" si="4"/>
        <v>276832</v>
      </c>
      <c r="H104" s="637">
        <v>300000</v>
      </c>
      <c r="I104" s="637">
        <v>300000</v>
      </c>
    </row>
    <row r="105" spans="1:9" ht="15.75">
      <c r="A105" s="592"/>
      <c r="B105" s="411" t="s">
        <v>260</v>
      </c>
      <c r="C105" s="493"/>
      <c r="D105" s="488"/>
      <c r="E105" s="413">
        <v>145958.87</v>
      </c>
      <c r="F105" s="637"/>
      <c r="G105" s="434">
        <f t="shared" si="4"/>
        <v>0</v>
      </c>
      <c r="H105" s="637">
        <v>0</v>
      </c>
      <c r="I105" s="637">
        <v>0</v>
      </c>
    </row>
    <row r="106" spans="1:9" ht="15.75">
      <c r="A106" s="592"/>
      <c r="B106" s="587" t="s">
        <v>237</v>
      </c>
      <c r="C106" s="493"/>
      <c r="D106" s="488"/>
      <c r="E106" s="413">
        <v>169280.43</v>
      </c>
      <c r="F106" s="637">
        <v>13800</v>
      </c>
      <c r="G106" s="434">
        <f t="shared" si="4"/>
        <v>186200</v>
      </c>
      <c r="H106" s="637">
        <v>200000</v>
      </c>
      <c r="I106" s="637">
        <v>200000</v>
      </c>
    </row>
    <row r="107" spans="1:9" ht="15.75">
      <c r="A107" s="592"/>
      <c r="B107" s="411" t="s">
        <v>138</v>
      </c>
      <c r="C107" s="493"/>
      <c r="D107" s="488"/>
      <c r="E107" s="413">
        <v>167898.71</v>
      </c>
      <c r="F107" s="637">
        <v>44218</v>
      </c>
      <c r="G107" s="434">
        <f t="shared" si="4"/>
        <v>105782</v>
      </c>
      <c r="H107" s="637">
        <v>150000</v>
      </c>
      <c r="I107" s="637">
        <v>150000</v>
      </c>
    </row>
    <row r="108" spans="1:9" ht="15.75">
      <c r="A108" s="592"/>
      <c r="B108" s="411" t="s">
        <v>238</v>
      </c>
      <c r="C108" s="493"/>
      <c r="D108" s="488"/>
      <c r="E108" s="413">
        <v>55000</v>
      </c>
      <c r="F108" s="637">
        <v>0</v>
      </c>
      <c r="G108" s="434">
        <f t="shared" si="4"/>
        <v>55000</v>
      </c>
      <c r="H108" s="637">
        <v>55000</v>
      </c>
      <c r="I108" s="637">
        <v>55000</v>
      </c>
    </row>
    <row r="109" spans="1:9" ht="15.75">
      <c r="A109" s="592"/>
      <c r="B109" s="411" t="s">
        <v>239</v>
      </c>
      <c r="C109" s="493"/>
      <c r="D109" s="488"/>
      <c r="E109" s="413">
        <v>144380.21</v>
      </c>
      <c r="F109" s="637">
        <v>5878</v>
      </c>
      <c r="G109" s="434">
        <f t="shared" si="4"/>
        <v>144122</v>
      </c>
      <c r="H109" s="637">
        <v>150000</v>
      </c>
      <c r="I109" s="637">
        <v>150000</v>
      </c>
    </row>
    <row r="110" spans="1:9" ht="21.75" customHeight="1">
      <c r="A110" s="771" t="s">
        <v>613</v>
      </c>
      <c r="B110" s="737"/>
      <c r="C110" s="737"/>
      <c r="D110" s="566"/>
      <c r="E110" s="636">
        <f>SUM(E58:E109)</f>
        <v>45064510.16</v>
      </c>
      <c r="F110" s="636">
        <f>SUM(F58:F109)</f>
        <v>34305357.18</v>
      </c>
      <c r="G110" s="636">
        <f>SUM(G58:G109)</f>
        <v>29002615.82</v>
      </c>
      <c r="H110" s="636">
        <f>SUM(H58:H109)</f>
        <v>63307973</v>
      </c>
      <c r="I110" s="636">
        <f>SUM(I58:I109)</f>
        <v>53281000</v>
      </c>
    </row>
    <row r="111" spans="1:9" ht="24" customHeight="1">
      <c r="A111" s="443" t="s">
        <v>563</v>
      </c>
      <c r="B111" s="727"/>
      <c r="C111" s="727"/>
      <c r="D111" s="728"/>
      <c r="E111" s="636">
        <f>E110+E55</f>
        <v>61695972.55</v>
      </c>
      <c r="F111" s="636">
        <f>F110+F55</f>
        <v>40974545.47</v>
      </c>
      <c r="G111" s="636">
        <f>G110+G55</f>
        <v>39915026.05</v>
      </c>
      <c r="H111" s="636">
        <f>H110+H55</f>
        <v>80889571.52</v>
      </c>
      <c r="I111" s="636">
        <f>I110+I55</f>
        <v>68393354.3625</v>
      </c>
    </row>
    <row r="112" spans="1:9" ht="21" customHeight="1">
      <c r="A112" s="743"/>
      <c r="B112" s="744"/>
      <c r="C112" s="744"/>
      <c r="D112" s="790"/>
      <c r="E112" s="409"/>
      <c r="F112" s="894"/>
      <c r="G112" s="409"/>
      <c r="H112" s="894"/>
      <c r="I112" s="895"/>
    </row>
    <row r="113" spans="1:9" ht="18">
      <c r="A113" s="460" t="s">
        <v>196</v>
      </c>
      <c r="B113" s="461"/>
      <c r="C113" s="456"/>
      <c r="D113" s="791"/>
      <c r="E113" s="464" t="s">
        <v>197</v>
      </c>
      <c r="F113" s="16"/>
      <c r="G113" s="554"/>
      <c r="H113" s="465" t="s">
        <v>198</v>
      </c>
      <c r="I113" s="862"/>
    </row>
    <row r="114" spans="1:9" ht="12" customHeight="1">
      <c r="A114" s="586"/>
      <c r="B114" s="587"/>
      <c r="C114" s="587"/>
      <c r="D114" s="789"/>
      <c r="E114" s="413"/>
      <c r="F114" s="648"/>
      <c r="G114" s="413"/>
      <c r="H114" s="648"/>
      <c r="I114" s="651"/>
    </row>
    <row r="115" spans="1:9" ht="12" customHeight="1">
      <c r="A115" s="586"/>
      <c r="B115" s="587"/>
      <c r="C115" s="587"/>
      <c r="D115" s="789"/>
      <c r="E115" s="413"/>
      <c r="F115" s="648"/>
      <c r="G115" s="413"/>
      <c r="H115" s="648"/>
      <c r="I115" s="651"/>
    </row>
    <row r="116" spans="1:9" ht="18">
      <c r="A116" s="468" t="s">
        <v>204</v>
      </c>
      <c r="B116" s="465"/>
      <c r="C116" s="465"/>
      <c r="D116" s="466"/>
      <c r="E116" s="469" t="s">
        <v>685</v>
      </c>
      <c r="F116" s="16"/>
      <c r="G116" s="1091" t="s">
        <v>204</v>
      </c>
      <c r="H116" s="1091"/>
      <c r="I116" s="1092"/>
    </row>
    <row r="117" spans="1:15" ht="18">
      <c r="A117" s="619" t="s">
        <v>434</v>
      </c>
      <c r="B117" s="620"/>
      <c r="C117" s="620"/>
      <c r="D117" s="794"/>
      <c r="E117" s="896" t="s">
        <v>686</v>
      </c>
      <c r="F117" s="810"/>
      <c r="G117" s="1093" t="s">
        <v>155</v>
      </c>
      <c r="H117" s="1093"/>
      <c r="I117" s="1094"/>
      <c r="O117" s="4">
        <f>'Form 1a ABR Office'!I10999</f>
        <v>0</v>
      </c>
    </row>
    <row r="118" ht="12.75">
      <c r="B118" s="476"/>
    </row>
    <row r="119" ht="12.75">
      <c r="B119" s="476"/>
    </row>
    <row r="120" ht="12.75">
      <c r="B120" s="476"/>
    </row>
    <row r="121" ht="12.75">
      <c r="B121" s="476"/>
    </row>
    <row r="122" ht="12.75">
      <c r="B122" s="476"/>
    </row>
    <row r="123" ht="12.75">
      <c r="B123" s="476"/>
    </row>
    <row r="124" ht="12.75">
      <c r="B124" s="476"/>
    </row>
    <row r="125" ht="12.75">
      <c r="B125" s="476"/>
    </row>
    <row r="126" spans="1:9" ht="15.75">
      <c r="A126" s="480" t="str">
        <f>A3</f>
        <v>LBP Form No. 2</v>
      </c>
      <c r="B126" s="407"/>
      <c r="C126" s="407"/>
      <c r="D126" s="408"/>
      <c r="E126" s="409"/>
      <c r="F126" s="797"/>
      <c r="G126" s="407"/>
      <c r="H126" s="407"/>
      <c r="I126" s="854"/>
    </row>
    <row r="127" spans="1:9" ht="15.75">
      <c r="A127" s="410"/>
      <c r="B127" s="411"/>
      <c r="C127" s="411"/>
      <c r="D127" s="412"/>
      <c r="E127" s="413"/>
      <c r="F127" s="11"/>
      <c r="G127" s="411"/>
      <c r="H127" s="411"/>
      <c r="I127" s="855"/>
    </row>
    <row r="128" spans="1:9" ht="15.75">
      <c r="A128" s="1106" t="str">
        <f>A5</f>
        <v>PROGRAMMED APPROPRIATION AND OBLIGATION BY OBJECT OF EXPENDITURE</v>
      </c>
      <c r="B128" s="1107"/>
      <c r="C128" s="1107"/>
      <c r="D128" s="1107"/>
      <c r="E128" s="1107"/>
      <c r="F128" s="1107"/>
      <c r="G128" s="1107"/>
      <c r="H128" s="1107"/>
      <c r="I128" s="1108"/>
    </row>
    <row r="129" spans="1:9" ht="15.75">
      <c r="A129" s="1109" t="str">
        <f>A6</f>
        <v>Municipality of Trento</v>
      </c>
      <c r="B129" s="1110"/>
      <c r="C129" s="1110"/>
      <c r="D129" s="1110"/>
      <c r="E129" s="1110"/>
      <c r="F129" s="1110"/>
      <c r="G129" s="1110"/>
      <c r="H129" s="1110"/>
      <c r="I129" s="1111"/>
    </row>
    <row r="130" spans="1:9" ht="15.75">
      <c r="A130" s="414" t="s">
        <v>465</v>
      </c>
      <c r="B130" s="411"/>
      <c r="C130" s="411"/>
      <c r="D130" s="412"/>
      <c r="E130" s="413"/>
      <c r="F130" s="11"/>
      <c r="G130" s="411"/>
      <c r="H130" s="411"/>
      <c r="I130" s="855"/>
    </row>
    <row r="131" spans="1:9" ht="12.75">
      <c r="A131" s="425"/>
      <c r="B131" s="10"/>
      <c r="C131" s="10"/>
      <c r="D131" s="481"/>
      <c r="E131" s="482"/>
      <c r="F131" s="812"/>
      <c r="G131" s="10"/>
      <c r="H131" s="483"/>
      <c r="I131" s="865"/>
    </row>
    <row r="132" spans="1:11" s="6" customFormat="1" ht="15.75">
      <c r="A132" s="1112" t="s">
        <v>181</v>
      </c>
      <c r="B132" s="1113"/>
      <c r="C132" s="1114"/>
      <c r="D132" s="415"/>
      <c r="E132" s="416" t="s">
        <v>7</v>
      </c>
      <c r="F132" s="1115" t="str">
        <f>F9</f>
        <v>Current Year 2020 (Estimate)</v>
      </c>
      <c r="G132" s="1116"/>
      <c r="H132" s="1117"/>
      <c r="I132" s="856" t="s">
        <v>10</v>
      </c>
      <c r="J132" s="778"/>
      <c r="K132" s="778"/>
    </row>
    <row r="133" spans="1:11" s="6" customFormat="1" ht="15.75">
      <c r="A133" s="1109"/>
      <c r="B133" s="1110"/>
      <c r="C133" s="1111"/>
      <c r="D133" s="417" t="s">
        <v>5</v>
      </c>
      <c r="E133" s="484" t="str">
        <f>E10</f>
        <v>2019</v>
      </c>
      <c r="F133" s="813" t="s">
        <v>8</v>
      </c>
      <c r="G133" s="485" t="s">
        <v>9</v>
      </c>
      <c r="H133" s="1118" t="s">
        <v>1</v>
      </c>
      <c r="I133" s="813">
        <f>I10</f>
        <v>2021</v>
      </c>
      <c r="J133" s="778"/>
      <c r="K133" s="778"/>
    </row>
    <row r="134" spans="1:11" s="6" customFormat="1" ht="15.75">
      <c r="A134" s="1109"/>
      <c r="B134" s="1110"/>
      <c r="C134" s="1111"/>
      <c r="D134" s="417" t="s">
        <v>12</v>
      </c>
      <c r="E134" s="486" t="s">
        <v>14</v>
      </c>
      <c r="F134" s="813" t="s">
        <v>14</v>
      </c>
      <c r="G134" s="485" t="s">
        <v>15</v>
      </c>
      <c r="H134" s="1119"/>
      <c r="I134" s="813" t="s">
        <v>182</v>
      </c>
      <c r="J134" s="778"/>
      <c r="K134" s="778"/>
    </row>
    <row r="135" spans="1:11" s="6" customFormat="1" ht="12.75">
      <c r="A135" s="1095" t="s">
        <v>183</v>
      </c>
      <c r="B135" s="1096"/>
      <c r="C135" s="1097"/>
      <c r="D135" s="422" t="s">
        <v>184</v>
      </c>
      <c r="E135" s="423" t="s">
        <v>185</v>
      </c>
      <c r="F135" s="814" t="s">
        <v>185</v>
      </c>
      <c r="G135" s="424" t="s">
        <v>187</v>
      </c>
      <c r="H135" s="424" t="s">
        <v>188</v>
      </c>
      <c r="I135" s="832" t="s">
        <v>189</v>
      </c>
      <c r="J135" s="778"/>
      <c r="K135" s="778"/>
    </row>
    <row r="136" spans="1:9" ht="12.75">
      <c r="A136" s="425"/>
      <c r="B136" s="10"/>
      <c r="C136" s="10"/>
      <c r="D136" s="426"/>
      <c r="E136" s="427"/>
      <c r="F136" s="801"/>
      <c r="G136" s="425"/>
      <c r="H136" s="428"/>
      <c r="I136" s="866"/>
    </row>
    <row r="137" spans="1:9" ht="15.75">
      <c r="A137" s="441">
        <v>1</v>
      </c>
      <c r="B137" s="430" t="s">
        <v>190</v>
      </c>
      <c r="C137" s="411"/>
      <c r="D137" s="431"/>
      <c r="E137" s="427"/>
      <c r="F137" s="801"/>
      <c r="G137" s="425"/>
      <c r="H137" s="428"/>
      <c r="I137" s="858"/>
    </row>
    <row r="138" spans="1:9" ht="15.75">
      <c r="A138" s="410"/>
      <c r="B138" s="432">
        <v>1.1</v>
      </c>
      <c r="C138" s="411" t="s">
        <v>159</v>
      </c>
      <c r="D138" s="431"/>
      <c r="E138" s="434"/>
      <c r="F138" s="815"/>
      <c r="G138" s="410"/>
      <c r="H138" s="487"/>
      <c r="I138" s="867"/>
    </row>
    <row r="139" spans="1:9" ht="15.75">
      <c r="A139" s="410"/>
      <c r="B139" s="411"/>
      <c r="C139" s="411" t="s">
        <v>52</v>
      </c>
      <c r="D139" s="488"/>
      <c r="E139" s="434">
        <v>1026900</v>
      </c>
      <c r="F139" s="643">
        <v>523722</v>
      </c>
      <c r="G139" s="487">
        <f aca="true" t="shared" si="5" ref="G139:G155">H139-F139</f>
        <v>523722</v>
      </c>
      <c r="H139" s="637">
        <v>1047444</v>
      </c>
      <c r="I139" s="637">
        <v>1047444</v>
      </c>
    </row>
    <row r="140" spans="1:9" ht="15.75">
      <c r="A140" s="410"/>
      <c r="B140" s="411"/>
      <c r="C140" s="411" t="s">
        <v>53</v>
      </c>
      <c r="D140" s="488"/>
      <c r="E140" s="434">
        <v>23999.8</v>
      </c>
      <c r="F140" s="643">
        <v>12000</v>
      </c>
      <c r="G140" s="487">
        <f t="shared" si="5"/>
        <v>12000</v>
      </c>
      <c r="H140" s="637">
        <f>2000*1*12</f>
        <v>24000</v>
      </c>
      <c r="I140" s="637">
        <f>2000*1*12</f>
        <v>24000</v>
      </c>
    </row>
    <row r="141" spans="1:9" ht="15.75">
      <c r="A141" s="410"/>
      <c r="B141" s="411"/>
      <c r="C141" s="411" t="s">
        <v>54</v>
      </c>
      <c r="D141" s="488"/>
      <c r="E141" s="434">
        <v>91800</v>
      </c>
      <c r="F141" s="643">
        <v>45900</v>
      </c>
      <c r="G141" s="487">
        <f t="shared" si="5"/>
        <v>45900</v>
      </c>
      <c r="H141" s="637">
        <v>91800</v>
      </c>
      <c r="I141" s="637">
        <v>91800</v>
      </c>
    </row>
    <row r="142" spans="1:9" ht="15.75">
      <c r="A142" s="410"/>
      <c r="B142" s="411"/>
      <c r="C142" s="411" t="s">
        <v>55</v>
      </c>
      <c r="D142" s="488"/>
      <c r="E142" s="434">
        <v>91800</v>
      </c>
      <c r="F142" s="643">
        <v>45900</v>
      </c>
      <c r="G142" s="487">
        <f t="shared" si="5"/>
        <v>45900</v>
      </c>
      <c r="H142" s="637">
        <v>91800</v>
      </c>
      <c r="I142" s="637">
        <v>91800</v>
      </c>
    </row>
    <row r="143" spans="1:9" ht="15.75">
      <c r="A143" s="410"/>
      <c r="B143" s="411"/>
      <c r="C143" s="411" t="s">
        <v>484</v>
      </c>
      <c r="D143" s="488"/>
      <c r="E143" s="434">
        <v>6000</v>
      </c>
      <c r="F143" s="643">
        <v>6000</v>
      </c>
      <c r="G143" s="487">
        <f t="shared" si="5"/>
        <v>0</v>
      </c>
      <c r="H143" s="637">
        <f>6000*1</f>
        <v>6000</v>
      </c>
      <c r="I143" s="637">
        <f>6000*1</f>
        <v>6000</v>
      </c>
    </row>
    <row r="144" spans="1:9" ht="15.75">
      <c r="A144" s="410"/>
      <c r="B144" s="411"/>
      <c r="C144" s="411" t="s">
        <v>0</v>
      </c>
      <c r="D144" s="488"/>
      <c r="E144" s="434">
        <v>85575</v>
      </c>
      <c r="F144" s="643">
        <v>0</v>
      </c>
      <c r="G144" s="487">
        <f t="shared" si="5"/>
        <v>87287</v>
      </c>
      <c r="H144" s="637">
        <v>87287</v>
      </c>
      <c r="I144" s="637">
        <f>I147</f>
        <v>87287</v>
      </c>
    </row>
    <row r="145" spans="1:9" ht="15.75">
      <c r="A145" s="410"/>
      <c r="B145" s="411"/>
      <c r="C145" s="411" t="s">
        <v>59</v>
      </c>
      <c r="D145" s="488"/>
      <c r="E145" s="434">
        <v>5000</v>
      </c>
      <c r="F145" s="643">
        <v>0</v>
      </c>
      <c r="G145" s="487">
        <f t="shared" si="5"/>
        <v>5000</v>
      </c>
      <c r="H145" s="637">
        <v>5000</v>
      </c>
      <c r="I145" s="637">
        <v>5000</v>
      </c>
    </row>
    <row r="146" spans="1:9" ht="15.75">
      <c r="A146" s="410"/>
      <c r="B146" s="411"/>
      <c r="C146" s="411" t="str">
        <f>C23</f>
        <v>Performance Base Bonus</v>
      </c>
      <c r="D146" s="488"/>
      <c r="E146" s="434">
        <v>41813.2</v>
      </c>
      <c r="F146" s="643">
        <v>85575</v>
      </c>
      <c r="G146" s="487">
        <f t="shared" si="5"/>
        <v>0</v>
      </c>
      <c r="H146" s="637">
        <v>85575</v>
      </c>
      <c r="I146" s="637">
        <f>I147</f>
        <v>87287</v>
      </c>
    </row>
    <row r="147" spans="1:9" ht="15.75">
      <c r="A147" s="410"/>
      <c r="B147" s="411"/>
      <c r="C147" s="411" t="str">
        <f>C24</f>
        <v>Mid Year</v>
      </c>
      <c r="D147" s="488"/>
      <c r="E147" s="434">
        <v>85575</v>
      </c>
      <c r="F147" s="643">
        <v>87287</v>
      </c>
      <c r="G147" s="487">
        <f t="shared" si="5"/>
        <v>0</v>
      </c>
      <c r="H147" s="637">
        <f>H139/12</f>
        <v>87287</v>
      </c>
      <c r="I147" s="637">
        <f>I139/12</f>
        <v>87287</v>
      </c>
    </row>
    <row r="148" spans="1:9" ht="15.75">
      <c r="A148" s="410"/>
      <c r="B148" s="411"/>
      <c r="C148" s="411" t="s">
        <v>485</v>
      </c>
      <c r="D148" s="490"/>
      <c r="E148" s="434">
        <v>121862.4</v>
      </c>
      <c r="F148" s="643">
        <v>62846.64</v>
      </c>
      <c r="G148" s="487">
        <f t="shared" si="5"/>
        <v>62846.64</v>
      </c>
      <c r="H148" s="637">
        <f>H139*12%</f>
        <v>125693.28</v>
      </c>
      <c r="I148" s="637">
        <f>I139*12%</f>
        <v>125693.28</v>
      </c>
    </row>
    <row r="149" spans="1:9" ht="15.75">
      <c r="A149" s="410"/>
      <c r="B149" s="411"/>
      <c r="C149" s="411" t="s">
        <v>61</v>
      </c>
      <c r="D149" s="490"/>
      <c r="E149" s="434">
        <v>8093.84</v>
      </c>
      <c r="F149" s="643">
        <v>1174.52</v>
      </c>
      <c r="G149" s="487">
        <f t="shared" si="5"/>
        <v>19774.36</v>
      </c>
      <c r="H149" s="637">
        <f>H139*2%</f>
        <v>20948.88</v>
      </c>
      <c r="I149" s="637">
        <f>100*12</f>
        <v>1200</v>
      </c>
    </row>
    <row r="150" spans="1:9" ht="15.75">
      <c r="A150" s="410"/>
      <c r="B150" s="411"/>
      <c r="C150" s="411" t="s">
        <v>62</v>
      </c>
      <c r="D150" s="490"/>
      <c r="E150" s="434">
        <v>6600</v>
      </c>
      <c r="F150" s="643">
        <v>5400</v>
      </c>
      <c r="G150" s="487">
        <f t="shared" si="5"/>
        <v>10311.66</v>
      </c>
      <c r="H150" s="637">
        <f>H139*1.5%</f>
        <v>15711.66</v>
      </c>
      <c r="I150" s="637">
        <f>I139*1.75%</f>
        <v>18330.27</v>
      </c>
    </row>
    <row r="151" spans="1:9" ht="15.75">
      <c r="A151" s="410"/>
      <c r="B151" s="411"/>
      <c r="C151" s="411" t="s">
        <v>262</v>
      </c>
      <c r="D151" s="490"/>
      <c r="E151" s="434">
        <v>1200</v>
      </c>
      <c r="F151" s="643">
        <v>600</v>
      </c>
      <c r="G151" s="487">
        <f t="shared" si="5"/>
        <v>600</v>
      </c>
      <c r="H151" s="637">
        <f>100*12</f>
        <v>1200</v>
      </c>
      <c r="I151" s="637">
        <f>100*12</f>
        <v>1200</v>
      </c>
    </row>
    <row r="152" spans="1:9" ht="15.75">
      <c r="A152" s="410"/>
      <c r="B152" s="411"/>
      <c r="C152" s="411" t="s">
        <v>64</v>
      </c>
      <c r="D152" s="490"/>
      <c r="E152" s="434">
        <v>1032895</v>
      </c>
      <c r="F152" s="643"/>
      <c r="G152" s="487">
        <f t="shared" si="5"/>
        <v>0</v>
      </c>
      <c r="H152" s="637"/>
      <c r="I152" s="637"/>
    </row>
    <row r="153" spans="1:9" ht="15.75">
      <c r="A153" s="410"/>
      <c r="B153" s="411"/>
      <c r="C153" s="411" t="s">
        <v>66</v>
      </c>
      <c r="D153" s="490"/>
      <c r="E153" s="434">
        <v>0</v>
      </c>
      <c r="F153" s="643">
        <v>0</v>
      </c>
      <c r="G153" s="487">
        <f t="shared" si="5"/>
        <v>482577.84</v>
      </c>
      <c r="H153" s="637">
        <v>482577.84</v>
      </c>
      <c r="I153" s="637">
        <v>20000</v>
      </c>
    </row>
    <row r="154" spans="1:9" ht="15.75">
      <c r="A154" s="410"/>
      <c r="B154" s="411"/>
      <c r="C154" s="411" t="str">
        <f>C31</f>
        <v>Productivity Enhancement Incentive</v>
      </c>
      <c r="D154" s="488"/>
      <c r="E154" s="434">
        <f>5000+25000</f>
        <v>30000</v>
      </c>
      <c r="F154" s="643">
        <v>0</v>
      </c>
      <c r="G154" s="487">
        <f t="shared" si="5"/>
        <v>5000</v>
      </c>
      <c r="H154" s="637">
        <f>5000*1</f>
        <v>5000</v>
      </c>
      <c r="I154" s="637">
        <f>5000*1</f>
        <v>5000</v>
      </c>
    </row>
    <row r="155" spans="1:9" ht="15.75">
      <c r="A155" s="410"/>
      <c r="B155" s="411"/>
      <c r="C155" s="411" t="s">
        <v>294</v>
      </c>
      <c r="D155" s="490"/>
      <c r="E155" s="434">
        <v>10000</v>
      </c>
      <c r="F155" s="816"/>
      <c r="G155" s="487">
        <f t="shared" si="5"/>
        <v>0</v>
      </c>
      <c r="H155" s="637"/>
      <c r="I155" s="637">
        <f>1892451.9-1699328.55</f>
        <v>193123.34999999986</v>
      </c>
    </row>
    <row r="156" spans="1:9" ht="15.75">
      <c r="A156" s="410"/>
      <c r="B156" s="411"/>
      <c r="C156" s="411" t="s">
        <v>67</v>
      </c>
      <c r="D156" s="490"/>
      <c r="E156" s="436">
        <f>SUM(E139:E155)</f>
        <v>2669114.24</v>
      </c>
      <c r="F156" s="817">
        <f>SUM(F139:F155)</f>
        <v>876405.16</v>
      </c>
      <c r="G156" s="491">
        <f>SUM(G139:G155)</f>
        <v>1300919.5</v>
      </c>
      <c r="H156" s="491">
        <f>SUM(H139:H155)</f>
        <v>2177324.6599999997</v>
      </c>
      <c r="I156" s="636">
        <f>SUM(I139:I155)</f>
        <v>1892451.9</v>
      </c>
    </row>
    <row r="157" spans="1:9" ht="15.75">
      <c r="A157" s="410"/>
      <c r="B157" s="411"/>
      <c r="C157" s="411"/>
      <c r="D157" s="488"/>
      <c r="E157" s="413"/>
      <c r="F157" s="739"/>
      <c r="G157" s="434"/>
      <c r="H157" s="434"/>
      <c r="I157" s="637"/>
    </row>
    <row r="158" spans="1:9" ht="15.75">
      <c r="A158" s="410"/>
      <c r="B158" s="432">
        <v>1.2</v>
      </c>
      <c r="C158" s="411" t="s">
        <v>191</v>
      </c>
      <c r="D158" s="488"/>
      <c r="E158" s="492"/>
      <c r="F158" s="818"/>
      <c r="G158" s="434"/>
      <c r="H158" s="434"/>
      <c r="I158" s="637"/>
    </row>
    <row r="159" spans="1:9" ht="15.75">
      <c r="A159" s="410"/>
      <c r="B159" s="411"/>
      <c r="C159" s="411" t="s">
        <v>199</v>
      </c>
      <c r="D159" s="488"/>
      <c r="E159" s="413"/>
      <c r="F159" s="637"/>
      <c r="G159" s="434"/>
      <c r="H159" s="434"/>
      <c r="I159" s="637"/>
    </row>
    <row r="160" spans="1:9" ht="15.75">
      <c r="A160" s="410"/>
      <c r="B160" s="411"/>
      <c r="C160" s="493"/>
      <c r="D160" s="488"/>
      <c r="E160" s="413"/>
      <c r="F160" s="637"/>
      <c r="G160" s="434"/>
      <c r="H160" s="434"/>
      <c r="I160" s="637"/>
    </row>
    <row r="161" spans="1:9" ht="15.75">
      <c r="A161" s="410"/>
      <c r="B161" s="411"/>
      <c r="C161" s="493" t="s">
        <v>69</v>
      </c>
      <c r="D161" s="488"/>
      <c r="E161" s="413">
        <v>160222.72</v>
      </c>
      <c r="F161" s="637">
        <v>33140</v>
      </c>
      <c r="G161" s="434">
        <f>H161-F161</f>
        <v>166860</v>
      </c>
      <c r="H161" s="637">
        <v>200000</v>
      </c>
      <c r="I161" s="637">
        <v>100000</v>
      </c>
    </row>
    <row r="162" spans="1:9" ht="15.75">
      <c r="A162" s="410"/>
      <c r="B162" s="411"/>
      <c r="C162" s="493" t="s">
        <v>176</v>
      </c>
      <c r="D162" s="488"/>
      <c r="E162" s="413">
        <v>20000</v>
      </c>
      <c r="F162" s="637">
        <v>5180</v>
      </c>
      <c r="G162" s="434">
        <f aca="true" t="shared" si="6" ref="G162:G168">H162-F162</f>
        <v>44820</v>
      </c>
      <c r="H162" s="637">
        <v>50000</v>
      </c>
      <c r="I162" s="637">
        <v>50000</v>
      </c>
    </row>
    <row r="163" spans="1:9" ht="15.75">
      <c r="A163" s="410"/>
      <c r="B163" s="411"/>
      <c r="C163" s="493" t="s">
        <v>70</v>
      </c>
      <c r="D163" s="488"/>
      <c r="E163" s="413">
        <v>10971.96</v>
      </c>
      <c r="F163" s="637">
        <v>539.09</v>
      </c>
      <c r="G163" s="434">
        <f t="shared" si="6"/>
        <v>49460.91</v>
      </c>
      <c r="H163" s="637">
        <v>50000</v>
      </c>
      <c r="I163" s="637">
        <v>50000</v>
      </c>
    </row>
    <row r="164" spans="1:9" ht="15.75">
      <c r="A164" s="410"/>
      <c r="B164" s="411"/>
      <c r="C164" s="493" t="s">
        <v>481</v>
      </c>
      <c r="D164" s="488"/>
      <c r="E164" s="413">
        <v>0</v>
      </c>
      <c r="F164" s="637">
        <v>0</v>
      </c>
      <c r="G164" s="434">
        <f t="shared" si="6"/>
        <v>250000</v>
      </c>
      <c r="H164" s="637">
        <v>250000</v>
      </c>
      <c r="I164" s="637">
        <v>100000</v>
      </c>
    </row>
    <row r="165" spans="1:9" ht="15.75">
      <c r="A165" s="410"/>
      <c r="B165" s="411"/>
      <c r="C165" s="411" t="s">
        <v>97</v>
      </c>
      <c r="D165" s="488"/>
      <c r="E165" s="413">
        <v>24000</v>
      </c>
      <c r="F165" s="637">
        <v>12000</v>
      </c>
      <c r="G165" s="434">
        <f t="shared" si="6"/>
        <v>12000</v>
      </c>
      <c r="H165" s="637">
        <v>24000</v>
      </c>
      <c r="I165" s="637">
        <v>24000</v>
      </c>
    </row>
    <row r="166" spans="1:9" ht="15.75">
      <c r="A166" s="410"/>
      <c r="B166" s="411"/>
      <c r="C166" s="493" t="s">
        <v>81</v>
      </c>
      <c r="D166" s="488"/>
      <c r="E166" s="413">
        <v>0</v>
      </c>
      <c r="F166" s="637">
        <v>0</v>
      </c>
      <c r="G166" s="434">
        <f>H166-F166</f>
        <v>50000</v>
      </c>
      <c r="H166" s="637">
        <v>50000</v>
      </c>
      <c r="I166" s="637">
        <v>50000</v>
      </c>
    </row>
    <row r="167" spans="1:9" ht="15.75">
      <c r="A167" s="410"/>
      <c r="B167" s="411"/>
      <c r="C167" s="411" t="s">
        <v>265</v>
      </c>
      <c r="D167" s="488"/>
      <c r="E167" s="413">
        <v>137925</v>
      </c>
      <c r="F167" s="637">
        <v>0</v>
      </c>
      <c r="G167" s="434">
        <f t="shared" si="6"/>
        <v>75000</v>
      </c>
      <c r="H167" s="637">
        <v>75000</v>
      </c>
      <c r="I167" s="637">
        <v>150000</v>
      </c>
    </row>
    <row r="168" spans="1:9" ht="15.75">
      <c r="A168" s="410"/>
      <c r="B168" s="411"/>
      <c r="C168" s="439" t="s">
        <v>291</v>
      </c>
      <c r="D168" s="488"/>
      <c r="E168" s="413">
        <v>133260</v>
      </c>
      <c r="F168" s="637">
        <v>83160</v>
      </c>
      <c r="G168" s="434">
        <f t="shared" si="6"/>
        <v>216840</v>
      </c>
      <c r="H168" s="637">
        <v>300000</v>
      </c>
      <c r="I168" s="637">
        <v>300000</v>
      </c>
    </row>
    <row r="169" spans="1:9" ht="15.75">
      <c r="A169" s="410"/>
      <c r="B169" s="411"/>
      <c r="C169" s="493" t="s">
        <v>200</v>
      </c>
      <c r="D169" s="488"/>
      <c r="E169" s="413">
        <v>30000</v>
      </c>
      <c r="F169" s="637">
        <v>80000</v>
      </c>
      <c r="G169" s="434">
        <f>H169-F169</f>
        <v>65000</v>
      </c>
      <c r="H169" s="637">
        <v>145000</v>
      </c>
      <c r="I169" s="637">
        <v>70000</v>
      </c>
    </row>
    <row r="170" spans="1:9" ht="15.75">
      <c r="A170" s="410"/>
      <c r="B170" s="411"/>
      <c r="C170" s="493" t="s">
        <v>192</v>
      </c>
      <c r="D170" s="488"/>
      <c r="E170" s="1121">
        <f>SUM(E161:E169)</f>
        <v>516379.68</v>
      </c>
      <c r="F170" s="819"/>
      <c r="G170" s="766"/>
      <c r="H170" s="766"/>
      <c r="I170" s="1125">
        <f>SUM(I161:I169)</f>
        <v>894000</v>
      </c>
    </row>
    <row r="171" spans="1:9" ht="15.75">
      <c r="A171" s="410"/>
      <c r="B171" s="411"/>
      <c r="C171" s="493" t="s">
        <v>193</v>
      </c>
      <c r="D171" s="488"/>
      <c r="E171" s="1122"/>
      <c r="F171" s="774">
        <f>SUM(F161:F170)</f>
        <v>214019.09</v>
      </c>
      <c r="G171" s="767">
        <f>G161+G162+G163+G164+G165+G169+G167+G168+G166</f>
        <v>929980.91</v>
      </c>
      <c r="H171" s="767">
        <f>SUM(H161:H170)</f>
        <v>1144000</v>
      </c>
      <c r="I171" s="1126"/>
    </row>
    <row r="172" spans="1:9" ht="15.75">
      <c r="A172" s="410"/>
      <c r="B172" s="411"/>
      <c r="C172" s="493"/>
      <c r="D172" s="488"/>
      <c r="E172" s="434"/>
      <c r="F172" s="639"/>
      <c r="G172" s="440"/>
      <c r="H172" s="440"/>
      <c r="I172" s="639"/>
    </row>
    <row r="173" spans="1:9" ht="15.75">
      <c r="A173" s="441">
        <v>2</v>
      </c>
      <c r="B173" s="411" t="s">
        <v>89</v>
      </c>
      <c r="C173" s="493"/>
      <c r="D173" s="488"/>
      <c r="E173" s="434"/>
      <c r="F173" s="639"/>
      <c r="G173" s="440"/>
      <c r="H173" s="639"/>
      <c r="I173" s="639"/>
    </row>
    <row r="174" spans="1:9" ht="15.75">
      <c r="A174" s="441"/>
      <c r="B174" s="411"/>
      <c r="C174" s="493" t="s">
        <v>92</v>
      </c>
      <c r="D174" s="488"/>
      <c r="E174" s="434"/>
      <c r="F174" s="639"/>
      <c r="G174" s="440">
        <f>H174-F174</f>
        <v>100000</v>
      </c>
      <c r="H174" s="639">
        <v>100000</v>
      </c>
      <c r="I174" s="639"/>
    </row>
    <row r="175" spans="1:9" ht="15.75">
      <c r="A175" s="410"/>
      <c r="B175" s="411"/>
      <c r="C175" s="493" t="s">
        <v>90</v>
      </c>
      <c r="D175" s="488"/>
      <c r="E175" s="434">
        <v>20000</v>
      </c>
      <c r="F175" s="639"/>
      <c r="G175" s="440">
        <f>H175-F175</f>
        <v>50000</v>
      </c>
      <c r="H175" s="639">
        <v>50000</v>
      </c>
      <c r="I175" s="639"/>
    </row>
    <row r="176" spans="1:9" ht="15.75">
      <c r="A176" s="410"/>
      <c r="B176" s="411"/>
      <c r="C176" s="609" t="s">
        <v>93</v>
      </c>
      <c r="D176" s="488"/>
      <c r="E176" s="494">
        <v>1698888</v>
      </c>
      <c r="F176" s="640"/>
      <c r="G176" s="440">
        <f>H176-F176</f>
        <v>0</v>
      </c>
      <c r="H176" s="640"/>
      <c r="I176" s="640"/>
    </row>
    <row r="177" spans="1:9" ht="15.75">
      <c r="A177" s="497"/>
      <c r="B177" s="498"/>
      <c r="C177" s="499" t="s">
        <v>94</v>
      </c>
      <c r="D177" s="500"/>
      <c r="E177" s="436">
        <f>SUM(E174:E176)</f>
        <v>1718888</v>
      </c>
      <c r="F177" s="820">
        <f>SUM(F175)</f>
        <v>0</v>
      </c>
      <c r="G177" s="766">
        <f>SUM(G174:G176)</f>
        <v>150000</v>
      </c>
      <c r="H177" s="766">
        <f>SUM(H174:H176)</f>
        <v>150000</v>
      </c>
      <c r="I177" s="773">
        <f>SUM(I174:I176)</f>
        <v>0</v>
      </c>
    </row>
    <row r="178" spans="1:9" ht="15.75">
      <c r="A178" s="443" t="s">
        <v>201</v>
      </c>
      <c r="B178" s="444"/>
      <c r="C178" s="444"/>
      <c r="D178" s="445"/>
      <c r="E178" s="436">
        <f>+E177+E170+E156</f>
        <v>4904381.92</v>
      </c>
      <c r="F178" s="773">
        <f>F177+F171+F156</f>
        <v>1090424.25</v>
      </c>
      <c r="G178" s="447">
        <f>G156+G171+G177</f>
        <v>2380900.41</v>
      </c>
      <c r="H178" s="447">
        <f>H156+H171+H177</f>
        <v>3471324.6599999997</v>
      </c>
      <c r="I178" s="773">
        <f>I156+I170+I177</f>
        <v>2786451.9</v>
      </c>
    </row>
    <row r="179" spans="1:9" ht="12.75">
      <c r="A179" s="448"/>
      <c r="B179" s="449"/>
      <c r="C179" s="450"/>
      <c r="D179" s="501"/>
      <c r="E179" s="452"/>
      <c r="F179" s="805"/>
      <c r="G179" s="502"/>
      <c r="H179" s="453"/>
      <c r="I179" s="860"/>
    </row>
    <row r="180" spans="1:9" ht="12.75">
      <c r="A180" s="454"/>
      <c r="B180" s="455"/>
      <c r="C180" s="624"/>
      <c r="D180" s="451"/>
      <c r="E180" s="457"/>
      <c r="F180" s="806"/>
      <c r="G180" s="455"/>
      <c r="H180" s="458"/>
      <c r="I180" s="861"/>
    </row>
    <row r="181" spans="1:9" ht="18">
      <c r="A181" s="460" t="s">
        <v>196</v>
      </c>
      <c r="B181" s="503"/>
      <c r="C181" s="456"/>
      <c r="D181" s="463"/>
      <c r="E181" s="464" t="s">
        <v>197</v>
      </c>
      <c r="F181" s="16"/>
      <c r="G181" s="554"/>
      <c r="H181" s="465" t="s">
        <v>198</v>
      </c>
      <c r="I181" s="862"/>
    </row>
    <row r="182" spans="1:9" ht="18">
      <c r="A182" s="460"/>
      <c r="B182" s="465"/>
      <c r="C182" s="465"/>
      <c r="D182" s="463"/>
      <c r="E182" s="467"/>
      <c r="F182" s="16"/>
      <c r="G182" s="465"/>
      <c r="H182" s="465"/>
      <c r="I182" s="862"/>
    </row>
    <row r="183" spans="1:9" ht="18">
      <c r="A183" s="460"/>
      <c r="B183" s="465"/>
      <c r="C183" s="465"/>
      <c r="D183" s="463"/>
      <c r="E183" s="457"/>
      <c r="F183" s="16"/>
      <c r="G183" s="465"/>
      <c r="H183" s="465"/>
      <c r="I183" s="249"/>
    </row>
    <row r="184" spans="1:9" ht="18">
      <c r="A184" s="460"/>
      <c r="B184" s="465"/>
      <c r="C184" s="465"/>
      <c r="D184" s="463"/>
      <c r="E184" s="467"/>
      <c r="F184" s="16"/>
      <c r="G184" s="465"/>
      <c r="H184" s="465"/>
      <c r="I184" s="249"/>
    </row>
    <row r="185" spans="1:9" ht="18">
      <c r="A185" s="468" t="s">
        <v>439</v>
      </c>
      <c r="B185" s="465"/>
      <c r="C185" s="465"/>
      <c r="D185" s="463"/>
      <c r="E185" s="464" t="str">
        <f>E116</f>
        <v>JANE B. LARIOSA</v>
      </c>
      <c r="F185" s="16"/>
      <c r="G185" s="1091" t="s">
        <v>204</v>
      </c>
      <c r="H185" s="1091"/>
      <c r="I185" s="1092"/>
    </row>
    <row r="186" spans="1:9" ht="18">
      <c r="A186" s="470" t="s">
        <v>261</v>
      </c>
      <c r="B186" s="433"/>
      <c r="C186" s="433"/>
      <c r="D186" s="504"/>
      <c r="E186" s="505" t="str">
        <f>E117</f>
        <v>AO II/OIC MBO</v>
      </c>
      <c r="F186" s="16"/>
      <c r="G186" s="1104" t="s">
        <v>202</v>
      </c>
      <c r="H186" s="1104"/>
      <c r="I186" s="1105"/>
    </row>
    <row r="187" spans="1:9" ht="18">
      <c r="A187" s="472"/>
      <c r="B187" s="473"/>
      <c r="C187" s="473"/>
      <c r="D187" s="474"/>
      <c r="E187" s="475"/>
      <c r="F187" s="810"/>
      <c r="G187" s="473"/>
      <c r="H187" s="473"/>
      <c r="I187" s="863"/>
    </row>
    <row r="188" ht="12.75">
      <c r="B188" s="476"/>
    </row>
    <row r="189" ht="12.75">
      <c r="B189" s="476"/>
    </row>
    <row r="190" ht="12.75">
      <c r="B190" s="476"/>
    </row>
    <row r="191" ht="12.75">
      <c r="B191" s="476"/>
    </row>
    <row r="192" ht="12.75">
      <c r="B192" s="476"/>
    </row>
    <row r="193" ht="12.75">
      <c r="B193" s="476"/>
    </row>
    <row r="194" ht="12.75">
      <c r="B194" s="476"/>
    </row>
    <row r="195" ht="12.75">
      <c r="B195" s="476"/>
    </row>
    <row r="196" ht="12.75">
      <c r="B196" s="476"/>
    </row>
    <row r="197" ht="12.75">
      <c r="B197" s="476"/>
    </row>
    <row r="198" spans="1:9" ht="15.75">
      <c r="A198" s="480" t="str">
        <f>A3</f>
        <v>LBP Form No. 2</v>
      </c>
      <c r="B198" s="407"/>
      <c r="C198" s="407"/>
      <c r="D198" s="408"/>
      <c r="E198" s="409"/>
      <c r="F198" s="797"/>
      <c r="G198" s="407"/>
      <c r="H198" s="407"/>
      <c r="I198" s="854"/>
    </row>
    <row r="199" spans="1:9" ht="15.75">
      <c r="A199" s="410"/>
      <c r="B199" s="411"/>
      <c r="C199" s="411"/>
      <c r="D199" s="412"/>
      <c r="E199" s="413"/>
      <c r="F199" s="11"/>
      <c r="G199" s="411"/>
      <c r="H199" s="411"/>
      <c r="I199" s="855"/>
    </row>
    <row r="200" spans="1:9" ht="15.75">
      <c r="A200" s="1106" t="str">
        <f>A128</f>
        <v>PROGRAMMED APPROPRIATION AND OBLIGATION BY OBJECT OF EXPENDITURE</v>
      </c>
      <c r="B200" s="1107"/>
      <c r="C200" s="1107"/>
      <c r="D200" s="1107"/>
      <c r="E200" s="1107"/>
      <c r="F200" s="1107"/>
      <c r="G200" s="1107"/>
      <c r="H200" s="1107"/>
      <c r="I200" s="1108"/>
    </row>
    <row r="201" spans="1:9" ht="15.75">
      <c r="A201" s="1109" t="str">
        <f>A129</f>
        <v>Municipality of Trento</v>
      </c>
      <c r="B201" s="1110"/>
      <c r="C201" s="1110"/>
      <c r="D201" s="1110"/>
      <c r="E201" s="1110"/>
      <c r="F201" s="1110"/>
      <c r="G201" s="1110"/>
      <c r="H201" s="1110"/>
      <c r="I201" s="1111"/>
    </row>
    <row r="202" spans="1:9" ht="15.75">
      <c r="A202" s="414" t="s">
        <v>466</v>
      </c>
      <c r="B202" s="411"/>
      <c r="C202" s="411"/>
      <c r="D202" s="412"/>
      <c r="E202" s="413"/>
      <c r="F202" s="11"/>
      <c r="G202" s="411"/>
      <c r="H202" s="411"/>
      <c r="I202" s="855"/>
    </row>
    <row r="203" spans="1:9" ht="12.75">
      <c r="A203" s="425"/>
      <c r="B203" s="10"/>
      <c r="C203" s="10"/>
      <c r="D203" s="481"/>
      <c r="E203" s="482"/>
      <c r="F203" s="812"/>
      <c r="G203" s="10"/>
      <c r="H203" s="483"/>
      <c r="I203" s="865"/>
    </row>
    <row r="204" spans="1:11" s="6" customFormat="1" ht="15.75">
      <c r="A204" s="1112" t="s">
        <v>181</v>
      </c>
      <c r="B204" s="1113"/>
      <c r="C204" s="1114"/>
      <c r="D204" s="415"/>
      <c r="E204" s="416" t="s">
        <v>7</v>
      </c>
      <c r="F204" s="1115" t="str">
        <f>F9</f>
        <v>Current Year 2020 (Estimate)</v>
      </c>
      <c r="G204" s="1116"/>
      <c r="H204" s="1117"/>
      <c r="I204" s="856" t="s">
        <v>10</v>
      </c>
      <c r="J204" s="778"/>
      <c r="K204" s="778"/>
    </row>
    <row r="205" spans="1:11" s="6" customFormat="1" ht="15.75">
      <c r="A205" s="1109"/>
      <c r="B205" s="1110"/>
      <c r="C205" s="1111"/>
      <c r="D205" s="417" t="s">
        <v>5</v>
      </c>
      <c r="E205" s="486" t="str">
        <f>E10</f>
        <v>2019</v>
      </c>
      <c r="F205" s="813" t="s">
        <v>8</v>
      </c>
      <c r="G205" s="485" t="s">
        <v>9</v>
      </c>
      <c r="H205" s="1118" t="s">
        <v>1</v>
      </c>
      <c r="I205" s="813">
        <f>I10</f>
        <v>2021</v>
      </c>
      <c r="J205" s="778"/>
      <c r="K205" s="778"/>
    </row>
    <row r="206" spans="1:11" s="6" customFormat="1" ht="15.75">
      <c r="A206" s="1109"/>
      <c r="B206" s="1110"/>
      <c r="C206" s="1111"/>
      <c r="D206" s="417" t="s">
        <v>12</v>
      </c>
      <c r="E206" s="486" t="s">
        <v>14</v>
      </c>
      <c r="F206" s="813" t="s">
        <v>14</v>
      </c>
      <c r="G206" s="485" t="s">
        <v>15</v>
      </c>
      <c r="H206" s="1119"/>
      <c r="I206" s="813" t="s">
        <v>182</v>
      </c>
      <c r="J206" s="778"/>
      <c r="K206" s="778"/>
    </row>
    <row r="207" spans="1:11" s="6" customFormat="1" ht="12.75">
      <c r="A207" s="1095" t="s">
        <v>183</v>
      </c>
      <c r="B207" s="1096"/>
      <c r="C207" s="1097"/>
      <c r="D207" s="422" t="s">
        <v>184</v>
      </c>
      <c r="E207" s="423" t="s">
        <v>185</v>
      </c>
      <c r="F207" s="814" t="s">
        <v>186</v>
      </c>
      <c r="G207" s="424" t="s">
        <v>187</v>
      </c>
      <c r="H207" s="424" t="s">
        <v>188</v>
      </c>
      <c r="I207" s="832" t="s">
        <v>189</v>
      </c>
      <c r="J207" s="778"/>
      <c r="K207" s="778"/>
    </row>
    <row r="208" spans="1:9" ht="12.75">
      <c r="A208" s="425"/>
      <c r="B208" s="10"/>
      <c r="C208" s="10"/>
      <c r="D208" s="506"/>
      <c r="E208" s="427"/>
      <c r="F208" s="801"/>
      <c r="G208" s="425"/>
      <c r="H208" s="428"/>
      <c r="I208" s="858"/>
    </row>
    <row r="209" spans="1:9" ht="15.75">
      <c r="A209" s="441">
        <v>1</v>
      </c>
      <c r="B209" s="430" t="s">
        <v>190</v>
      </c>
      <c r="C209" s="411"/>
      <c r="D209" s="488"/>
      <c r="E209" s="427"/>
      <c r="F209" s="801"/>
      <c r="G209" s="425"/>
      <c r="H209" s="428"/>
      <c r="I209" s="858"/>
    </row>
    <row r="210" spans="1:9" ht="15.75">
      <c r="A210" s="410"/>
      <c r="B210" s="507">
        <v>1.1</v>
      </c>
      <c r="C210" s="411" t="s">
        <v>159</v>
      </c>
      <c r="D210" s="488"/>
      <c r="E210" s="427"/>
      <c r="F210" s="801"/>
      <c r="G210" s="425"/>
      <c r="H210" s="428"/>
      <c r="I210" s="858"/>
    </row>
    <row r="211" spans="1:9" ht="15.75">
      <c r="A211" s="410"/>
      <c r="B211" s="411"/>
      <c r="C211" s="411" t="s">
        <v>52</v>
      </c>
      <c r="D211" s="488"/>
      <c r="E211" s="434">
        <v>8843984.87</v>
      </c>
      <c r="F211" s="643">
        <v>5079835</v>
      </c>
      <c r="G211" s="487">
        <f aca="true" t="shared" si="7" ref="G211:G227">H211-F211</f>
        <v>5087225</v>
      </c>
      <c r="H211" s="637">
        <v>10167060</v>
      </c>
      <c r="I211" s="637">
        <v>10167060</v>
      </c>
    </row>
    <row r="212" spans="1:9" ht="15.75">
      <c r="A212" s="410"/>
      <c r="B212" s="411"/>
      <c r="C212" s="411" t="s">
        <v>53</v>
      </c>
      <c r="D212" s="488"/>
      <c r="E212" s="434">
        <v>233333.2</v>
      </c>
      <c r="F212" s="643">
        <v>131935.3</v>
      </c>
      <c r="G212" s="487">
        <f t="shared" si="7"/>
        <v>132064.7</v>
      </c>
      <c r="H212" s="637">
        <f>2000*11*12</f>
        <v>264000</v>
      </c>
      <c r="I212" s="637">
        <f>2000*11*12</f>
        <v>264000</v>
      </c>
    </row>
    <row r="213" spans="1:9" ht="15.75">
      <c r="A213" s="410"/>
      <c r="B213" s="411"/>
      <c r="C213" s="411" t="s">
        <v>54</v>
      </c>
      <c r="D213" s="488"/>
      <c r="E213" s="434">
        <v>786375</v>
      </c>
      <c r="F213" s="643">
        <v>445282.2</v>
      </c>
      <c r="G213" s="487">
        <f t="shared" si="7"/>
        <v>445717.8</v>
      </c>
      <c r="H213" s="637">
        <v>891000</v>
      </c>
      <c r="I213" s="637">
        <v>891000</v>
      </c>
    </row>
    <row r="214" spans="1:9" ht="15.75">
      <c r="A214" s="410"/>
      <c r="B214" s="411"/>
      <c r="C214" s="411" t="s">
        <v>55</v>
      </c>
      <c r="D214" s="488"/>
      <c r="E214" s="434">
        <v>786375</v>
      </c>
      <c r="F214" s="643">
        <v>445282.2</v>
      </c>
      <c r="G214" s="487">
        <f t="shared" si="7"/>
        <v>445717.8</v>
      </c>
      <c r="H214" s="637">
        <v>891000</v>
      </c>
      <c r="I214" s="637">
        <v>891000</v>
      </c>
    </row>
    <row r="215" spans="1:9" ht="15.75">
      <c r="A215" s="410"/>
      <c r="B215" s="411"/>
      <c r="C215" s="411" t="s">
        <v>484</v>
      </c>
      <c r="D215" s="488"/>
      <c r="E215" s="434">
        <v>54000</v>
      </c>
      <c r="F215" s="643">
        <v>60000</v>
      </c>
      <c r="G215" s="487">
        <f t="shared" si="7"/>
        <v>6000</v>
      </c>
      <c r="H215" s="637">
        <f>6000*11</f>
        <v>66000</v>
      </c>
      <c r="I215" s="637">
        <f>6000*11</f>
        <v>66000</v>
      </c>
    </row>
    <row r="216" spans="1:9" ht="15.75">
      <c r="A216" s="410"/>
      <c r="B216" s="411"/>
      <c r="C216" s="411" t="s">
        <v>0</v>
      </c>
      <c r="D216" s="490"/>
      <c r="E216" s="434">
        <v>754346</v>
      </c>
      <c r="F216" s="643">
        <v>0</v>
      </c>
      <c r="G216" s="487">
        <f t="shared" si="7"/>
        <v>847255</v>
      </c>
      <c r="H216" s="637">
        <f>H219</f>
        <v>847255</v>
      </c>
      <c r="I216" s="637">
        <f>I219</f>
        <v>847255</v>
      </c>
    </row>
    <row r="217" spans="1:9" ht="15.75">
      <c r="A217" s="410"/>
      <c r="B217" s="411"/>
      <c r="C217" s="411" t="s">
        <v>59</v>
      </c>
      <c r="D217" s="488"/>
      <c r="E217" s="434">
        <v>50000</v>
      </c>
      <c r="F217" s="643">
        <v>0</v>
      </c>
      <c r="G217" s="487">
        <f t="shared" si="7"/>
        <v>55000</v>
      </c>
      <c r="H217" s="637">
        <f>5000*11</f>
        <v>55000</v>
      </c>
      <c r="I217" s="637">
        <f>5000*11</f>
        <v>55000</v>
      </c>
    </row>
    <row r="218" spans="1:9" ht="15.75">
      <c r="A218" s="410"/>
      <c r="B218" s="411"/>
      <c r="C218" s="411" t="str">
        <f>C23</f>
        <v>Performance Base Bonus</v>
      </c>
      <c r="D218" s="488"/>
      <c r="E218" s="434">
        <v>640505.46</v>
      </c>
      <c r="F218" s="643">
        <v>531958.57</v>
      </c>
      <c r="G218" s="487">
        <f t="shared" si="7"/>
        <v>298677.43000000005</v>
      </c>
      <c r="H218" s="637">
        <v>830636</v>
      </c>
      <c r="I218" s="637">
        <f>I219</f>
        <v>847255</v>
      </c>
    </row>
    <row r="219" spans="1:9" ht="15.75">
      <c r="A219" s="410"/>
      <c r="B219" s="411"/>
      <c r="C219" s="411" t="s">
        <v>60</v>
      </c>
      <c r="D219" s="488"/>
      <c r="E219" s="434">
        <v>762984</v>
      </c>
      <c r="F219" s="643">
        <v>847255</v>
      </c>
      <c r="G219" s="487">
        <f t="shared" si="7"/>
        <v>0</v>
      </c>
      <c r="H219" s="637">
        <f>H211/12</f>
        <v>847255</v>
      </c>
      <c r="I219" s="637">
        <f>I211/12</f>
        <v>847255</v>
      </c>
    </row>
    <row r="220" spans="1:9" ht="15.75">
      <c r="A220" s="410"/>
      <c r="B220" s="411"/>
      <c r="C220" s="411" t="s">
        <v>485</v>
      </c>
      <c r="D220" s="490"/>
      <c r="E220" s="434">
        <v>1051113.67</v>
      </c>
      <c r="F220" s="643">
        <v>609580.2</v>
      </c>
      <c r="G220" s="487">
        <f t="shared" si="7"/>
        <v>610467</v>
      </c>
      <c r="H220" s="637">
        <f>H211*12%</f>
        <v>1220047.2</v>
      </c>
      <c r="I220" s="637">
        <f>I211*12%</f>
        <v>1220047.2</v>
      </c>
    </row>
    <row r="221" spans="1:9" ht="15.75">
      <c r="A221" s="410"/>
      <c r="B221" s="411"/>
      <c r="C221" s="411" t="s">
        <v>61</v>
      </c>
      <c r="D221" s="490"/>
      <c r="E221" s="434">
        <v>27212.04</v>
      </c>
      <c r="F221" s="643">
        <v>6600</v>
      </c>
      <c r="G221" s="487">
        <f t="shared" si="7"/>
        <v>196741.2</v>
      </c>
      <c r="H221" s="637">
        <f>H211*2%</f>
        <v>203341.2</v>
      </c>
      <c r="I221" s="637">
        <f>1100*12</f>
        <v>13200</v>
      </c>
    </row>
    <row r="222" spans="1:9" ht="15.75">
      <c r="A222" s="410"/>
      <c r="B222" s="411"/>
      <c r="C222" s="411" t="s">
        <v>62</v>
      </c>
      <c r="D222" s="490"/>
      <c r="E222" s="434">
        <v>64350</v>
      </c>
      <c r="F222" s="643">
        <v>59400</v>
      </c>
      <c r="G222" s="487">
        <f t="shared" si="7"/>
        <v>93105.9</v>
      </c>
      <c r="H222" s="637">
        <f>H211*1.5%</f>
        <v>152505.9</v>
      </c>
      <c r="I222" s="637">
        <f>I211*1.75%</f>
        <v>177923.55000000002</v>
      </c>
    </row>
    <row r="223" spans="1:9" ht="15.75">
      <c r="A223" s="410"/>
      <c r="B223" s="411"/>
      <c r="C223" s="411" t="s">
        <v>262</v>
      </c>
      <c r="D223" s="490"/>
      <c r="E223" s="434">
        <v>11700</v>
      </c>
      <c r="F223" s="643">
        <v>6600</v>
      </c>
      <c r="G223" s="487">
        <f t="shared" si="7"/>
        <v>6600</v>
      </c>
      <c r="H223" s="637">
        <f>1100*12</f>
        <v>13200</v>
      </c>
      <c r="I223" s="637">
        <f>1100*12</f>
        <v>13200</v>
      </c>
    </row>
    <row r="224" spans="1:9" ht="15.75">
      <c r="A224" s="410"/>
      <c r="B224" s="411"/>
      <c r="C224" s="411" t="s">
        <v>64</v>
      </c>
      <c r="D224" s="490"/>
      <c r="E224" s="434">
        <v>1853771</v>
      </c>
      <c r="F224" s="643"/>
      <c r="G224" s="487">
        <f t="shared" si="7"/>
        <v>0</v>
      </c>
      <c r="H224" s="637"/>
      <c r="I224" s="637"/>
    </row>
    <row r="225" spans="1:9" ht="15.75">
      <c r="A225" s="410"/>
      <c r="B225" s="411"/>
      <c r="C225" s="411" t="s">
        <v>66</v>
      </c>
      <c r="D225" s="490"/>
      <c r="E225" s="434">
        <f>107003.63+250000</f>
        <v>357003.63</v>
      </c>
      <c r="F225" s="643"/>
      <c r="G225" s="487">
        <f t="shared" si="7"/>
        <v>661422.7</v>
      </c>
      <c r="H225" s="637">
        <v>661422.7</v>
      </c>
      <c r="I225" s="637">
        <f>20000*11</f>
        <v>220000</v>
      </c>
    </row>
    <row r="226" spans="1:9" ht="15.75">
      <c r="A226" s="410"/>
      <c r="B226" s="411"/>
      <c r="C226" s="411" t="str">
        <f>C31</f>
        <v>Productivity Enhancement Incentive</v>
      </c>
      <c r="D226" s="488"/>
      <c r="E226" s="434">
        <v>50000</v>
      </c>
      <c r="F226" s="643"/>
      <c r="G226" s="487">
        <f t="shared" si="7"/>
        <v>55000</v>
      </c>
      <c r="H226" s="637">
        <f>5000*11</f>
        <v>55000</v>
      </c>
      <c r="I226" s="637">
        <f>5000*11</f>
        <v>55000</v>
      </c>
    </row>
    <row r="227" spans="1:9" ht="15.75">
      <c r="A227" s="410"/>
      <c r="B227" s="411"/>
      <c r="C227" s="411" t="s">
        <v>294</v>
      </c>
      <c r="D227" s="490"/>
      <c r="E227" s="434">
        <v>132365.44</v>
      </c>
      <c r="F227" s="643"/>
      <c r="G227" s="487">
        <f t="shared" si="7"/>
        <v>0</v>
      </c>
      <c r="H227" s="637"/>
      <c r="I227" s="637">
        <f>18449885.85-16575195.75</f>
        <v>1874690.1000000015</v>
      </c>
    </row>
    <row r="228" spans="1:9" ht="15.75">
      <c r="A228" s="410"/>
      <c r="B228" s="411"/>
      <c r="C228" s="411" t="s">
        <v>67</v>
      </c>
      <c r="D228" s="490"/>
      <c r="E228" s="436">
        <f>SUM(E211:E227)</f>
        <v>16459419.309999997</v>
      </c>
      <c r="F228" s="636">
        <f>SUM(F211:F227)</f>
        <v>8223728.470000001</v>
      </c>
      <c r="G228" s="436">
        <f>SUM(G211:G227)</f>
        <v>8940994.53</v>
      </c>
      <c r="H228" s="436">
        <f>SUM(H211:H227)</f>
        <v>17164723</v>
      </c>
      <c r="I228" s="436">
        <f>SUM(I211:I227)</f>
        <v>18449885.85</v>
      </c>
    </row>
    <row r="229" spans="1:9" ht="15.75">
      <c r="A229" s="410"/>
      <c r="B229" s="411"/>
      <c r="C229" s="411"/>
      <c r="D229" s="488"/>
      <c r="E229" s="413"/>
      <c r="F229" s="739"/>
      <c r="G229" s="434"/>
      <c r="H229" s="434"/>
      <c r="I229" s="637"/>
    </row>
    <row r="230" spans="1:9" ht="15.75">
      <c r="A230" s="410"/>
      <c r="B230" s="507">
        <v>1.2</v>
      </c>
      <c r="C230" s="411" t="s">
        <v>191</v>
      </c>
      <c r="D230" s="488"/>
      <c r="E230" s="492"/>
      <c r="F230" s="818"/>
      <c r="G230" s="434"/>
      <c r="H230" s="434"/>
      <c r="I230" s="637"/>
    </row>
    <row r="231" spans="1:9" ht="15.75">
      <c r="A231" s="410"/>
      <c r="B231" s="411"/>
      <c r="C231" s="411" t="s">
        <v>199</v>
      </c>
      <c r="D231" s="488"/>
      <c r="E231" s="413"/>
      <c r="F231" s="637"/>
      <c r="G231" s="434"/>
      <c r="H231" s="434"/>
      <c r="I231" s="637"/>
    </row>
    <row r="232" spans="1:9" ht="15.75">
      <c r="A232" s="410"/>
      <c r="B232" s="411"/>
      <c r="C232" s="493"/>
      <c r="D232" s="488"/>
      <c r="E232" s="413"/>
      <c r="F232" s="637"/>
      <c r="G232" s="434"/>
      <c r="H232" s="434"/>
      <c r="I232" s="637"/>
    </row>
    <row r="233" spans="1:9" ht="15.75">
      <c r="A233" s="410"/>
      <c r="B233" s="411"/>
      <c r="C233" s="493" t="s">
        <v>69</v>
      </c>
      <c r="D233" s="488"/>
      <c r="E233" s="413">
        <v>967617.48</v>
      </c>
      <c r="F233" s="637">
        <v>270000</v>
      </c>
      <c r="G233" s="434">
        <f aca="true" t="shared" si="8" ref="G233:G241">H233-F233</f>
        <v>930000</v>
      </c>
      <c r="H233" s="637">
        <v>1200000</v>
      </c>
      <c r="I233" s="637">
        <v>500000</v>
      </c>
    </row>
    <row r="234" spans="1:9" ht="15.75">
      <c r="A234" s="410"/>
      <c r="B234" s="411"/>
      <c r="C234" s="493" t="s">
        <v>176</v>
      </c>
      <c r="D234" s="488"/>
      <c r="E234" s="413">
        <v>100000</v>
      </c>
      <c r="F234" s="637">
        <v>41570</v>
      </c>
      <c r="G234" s="434">
        <f t="shared" si="8"/>
        <v>158430</v>
      </c>
      <c r="H234" s="637">
        <v>200000</v>
      </c>
      <c r="I234" s="637">
        <v>100000</v>
      </c>
    </row>
    <row r="235" spans="1:9" ht="15.75">
      <c r="A235" s="410"/>
      <c r="B235" s="411"/>
      <c r="C235" s="493" t="s">
        <v>70</v>
      </c>
      <c r="D235" s="488"/>
      <c r="E235" s="413">
        <v>33492.29</v>
      </c>
      <c r="F235" s="637">
        <v>50398.98</v>
      </c>
      <c r="G235" s="434">
        <f t="shared" si="8"/>
        <v>49601.02</v>
      </c>
      <c r="H235" s="637">
        <v>100000</v>
      </c>
      <c r="I235" s="637">
        <v>100000</v>
      </c>
    </row>
    <row r="236" spans="1:9" ht="15.75">
      <c r="A236" s="410"/>
      <c r="B236" s="411"/>
      <c r="C236" s="493" t="s">
        <v>481</v>
      </c>
      <c r="D236" s="488"/>
      <c r="E236" s="508">
        <v>0</v>
      </c>
      <c r="F236" s="637">
        <v>0</v>
      </c>
      <c r="G236" s="434">
        <f t="shared" si="8"/>
        <v>100000</v>
      </c>
      <c r="H236" s="637">
        <v>100000</v>
      </c>
      <c r="I236" s="637">
        <v>0</v>
      </c>
    </row>
    <row r="237" spans="1:9" ht="15.75">
      <c r="A237" s="410"/>
      <c r="B237" s="411"/>
      <c r="C237" s="411" t="s">
        <v>97</v>
      </c>
      <c r="D237" s="488"/>
      <c r="E237" s="413">
        <v>233000</v>
      </c>
      <c r="F237" s="637">
        <v>131935.3</v>
      </c>
      <c r="G237" s="434">
        <f t="shared" si="8"/>
        <v>108064.70000000001</v>
      </c>
      <c r="H237" s="637">
        <v>240000</v>
      </c>
      <c r="I237" s="637">
        <v>264000</v>
      </c>
    </row>
    <row r="238" spans="1:9" ht="15.75">
      <c r="A238" s="410"/>
      <c r="B238" s="411"/>
      <c r="C238" s="493" t="s">
        <v>81</v>
      </c>
      <c r="D238" s="490"/>
      <c r="E238" s="438"/>
      <c r="F238" s="802">
        <v>0</v>
      </c>
      <c r="G238" s="434">
        <f t="shared" si="8"/>
        <v>10000</v>
      </c>
      <c r="H238" s="637">
        <v>10000</v>
      </c>
      <c r="I238" s="637">
        <v>10000</v>
      </c>
    </row>
    <row r="239" spans="1:9" ht="15.75">
      <c r="A239" s="410"/>
      <c r="B239" s="411"/>
      <c r="C239" s="411" t="s">
        <v>265</v>
      </c>
      <c r="D239" s="488"/>
      <c r="E239" s="413">
        <v>19200</v>
      </c>
      <c r="F239" s="637">
        <v>0</v>
      </c>
      <c r="G239" s="434">
        <f t="shared" si="8"/>
        <v>50000</v>
      </c>
      <c r="H239" s="637">
        <v>50000</v>
      </c>
      <c r="I239" s="637">
        <v>50000</v>
      </c>
    </row>
    <row r="240" spans="1:9" ht="15.75">
      <c r="A240" s="410"/>
      <c r="B240" s="411"/>
      <c r="C240" s="439" t="s">
        <v>291</v>
      </c>
      <c r="D240" s="490"/>
      <c r="E240" s="438">
        <v>400000</v>
      </c>
      <c r="F240" s="802">
        <v>403200</v>
      </c>
      <c r="G240" s="434">
        <f t="shared" si="8"/>
        <v>96800</v>
      </c>
      <c r="H240" s="637">
        <v>500000</v>
      </c>
      <c r="I240" s="637">
        <v>500000</v>
      </c>
    </row>
    <row r="241" spans="1:9" ht="15.75">
      <c r="A241" s="410"/>
      <c r="B241" s="411"/>
      <c r="C241" s="493" t="s">
        <v>84</v>
      </c>
      <c r="D241" s="490"/>
      <c r="E241" s="438">
        <v>58997</v>
      </c>
      <c r="F241" s="802">
        <v>23975</v>
      </c>
      <c r="G241" s="434">
        <f t="shared" si="8"/>
        <v>476025</v>
      </c>
      <c r="H241" s="637">
        <v>500000</v>
      </c>
      <c r="I241" s="637">
        <v>200000</v>
      </c>
    </row>
    <row r="242" spans="1:9" ht="15.75">
      <c r="A242" s="410"/>
      <c r="B242" s="411"/>
      <c r="C242" s="493" t="s">
        <v>680</v>
      </c>
      <c r="D242" s="490"/>
      <c r="E242" s="438"/>
      <c r="F242" s="802"/>
      <c r="G242" s="434"/>
      <c r="H242" s="637"/>
      <c r="I242" s="637">
        <v>50000</v>
      </c>
    </row>
    <row r="243" spans="1:9" ht="15.75">
      <c r="A243" s="410"/>
      <c r="B243" s="411"/>
      <c r="C243" s="493" t="s">
        <v>192</v>
      </c>
      <c r="D243" s="488"/>
      <c r="E243" s="1121">
        <f>SUM(E233:E241)</f>
        <v>1812306.77</v>
      </c>
      <c r="F243" s="820"/>
      <c r="G243" s="1123">
        <f>SUM(G233:G241)</f>
        <v>1978920.72</v>
      </c>
      <c r="H243" s="766"/>
      <c r="I243" s="1125">
        <f>SUM(I233:I242)</f>
        <v>1774000</v>
      </c>
    </row>
    <row r="244" spans="1:9" ht="15.75">
      <c r="A244" s="410"/>
      <c r="B244" s="411"/>
      <c r="C244" s="493" t="s">
        <v>193</v>
      </c>
      <c r="D244" s="488"/>
      <c r="E244" s="1129"/>
      <c r="F244" s="821">
        <f>SUM(F233:F243)</f>
        <v>921079.28</v>
      </c>
      <c r="G244" s="1130"/>
      <c r="H244" s="768">
        <f>SUM(H233:H243)</f>
        <v>2900000</v>
      </c>
      <c r="I244" s="1131"/>
    </row>
    <row r="245" spans="1:9" ht="15.75">
      <c r="A245" s="410"/>
      <c r="B245" s="411"/>
      <c r="C245" s="493"/>
      <c r="D245" s="490"/>
      <c r="E245" s="437"/>
      <c r="F245" s="822"/>
      <c r="G245" s="509"/>
      <c r="H245" s="509"/>
      <c r="I245" s="822"/>
    </row>
    <row r="246" spans="1:9" ht="15.75">
      <c r="A246" s="441">
        <v>2</v>
      </c>
      <c r="B246" s="411" t="s">
        <v>89</v>
      </c>
      <c r="C246" s="493"/>
      <c r="D246" s="490"/>
      <c r="E246" s="434"/>
      <c r="F246" s="642"/>
      <c r="G246" s="510"/>
      <c r="H246" s="641"/>
      <c r="I246" s="641"/>
    </row>
    <row r="247" spans="1:9" ht="15.75">
      <c r="A247" s="410"/>
      <c r="B247" s="411"/>
      <c r="C247" s="493" t="s">
        <v>90</v>
      </c>
      <c r="D247" s="490"/>
      <c r="E247" s="434"/>
      <c r="F247" s="642"/>
      <c r="G247" s="510">
        <f>H247-F247</f>
        <v>200000</v>
      </c>
      <c r="H247" s="642">
        <v>200000</v>
      </c>
      <c r="I247" s="642">
        <v>150000</v>
      </c>
    </row>
    <row r="248" spans="1:9" ht="15.75">
      <c r="A248" s="410"/>
      <c r="B248" s="411"/>
      <c r="C248" s="493" t="s">
        <v>92</v>
      </c>
      <c r="D248" s="490"/>
      <c r="E248" s="434">
        <v>44850</v>
      </c>
      <c r="F248" s="642"/>
      <c r="G248" s="510">
        <f>H248-F248</f>
        <v>60000</v>
      </c>
      <c r="H248" s="642">
        <v>60000</v>
      </c>
      <c r="I248" s="642">
        <v>0</v>
      </c>
    </row>
    <row r="249" spans="1:9" ht="15.75">
      <c r="A249" s="497"/>
      <c r="B249" s="498"/>
      <c r="C249" s="499" t="s">
        <v>94</v>
      </c>
      <c r="D249" s="500"/>
      <c r="E249" s="491">
        <f>SUM(E247:E248)</f>
        <v>44850</v>
      </c>
      <c r="F249" s="773">
        <f>SUM(F247:F248)</f>
        <v>0</v>
      </c>
      <c r="G249" s="447">
        <f>SUM(G247:G248)</f>
        <v>260000</v>
      </c>
      <c r="H249" s="442">
        <f>SUM(H247:H248)</f>
        <v>260000</v>
      </c>
      <c r="I249" s="775">
        <f>SUM(I247:I248)</f>
        <v>150000</v>
      </c>
    </row>
    <row r="250" spans="1:9" ht="15.75">
      <c r="A250" s="443" t="s">
        <v>203</v>
      </c>
      <c r="B250" s="444"/>
      <c r="C250" s="444"/>
      <c r="D250" s="445"/>
      <c r="E250" s="446">
        <f>+E249+E243+E228</f>
        <v>18316576.08</v>
      </c>
      <c r="F250" s="775">
        <f>F249+F244+F228</f>
        <v>9144807.75</v>
      </c>
      <c r="G250" s="447">
        <f>G249+G243+G228</f>
        <v>11179915.25</v>
      </c>
      <c r="H250" s="447">
        <f>H228+H244+H249</f>
        <v>20324723</v>
      </c>
      <c r="I250" s="773">
        <f>I228+I243+I249</f>
        <v>20373885.85</v>
      </c>
    </row>
    <row r="251" spans="1:9" ht="12.75">
      <c r="A251" s="448"/>
      <c r="B251" s="449"/>
      <c r="C251" s="450"/>
      <c r="D251" s="501"/>
      <c r="E251" s="452"/>
      <c r="F251" s="805"/>
      <c r="G251" s="450"/>
      <c r="H251" s="453"/>
      <c r="I251" s="860"/>
    </row>
    <row r="252" spans="1:9" ht="12.75">
      <c r="A252" s="454"/>
      <c r="B252" s="455"/>
      <c r="C252" s="456"/>
      <c r="D252" s="451"/>
      <c r="E252" s="457"/>
      <c r="F252" s="806"/>
      <c r="G252" s="459"/>
      <c r="H252" s="458"/>
      <c r="I252" s="861"/>
    </row>
    <row r="253" spans="1:9" ht="18">
      <c r="A253" s="460" t="s">
        <v>196</v>
      </c>
      <c r="B253" s="503"/>
      <c r="C253" s="456"/>
      <c r="D253" s="463"/>
      <c r="E253" s="464" t="s">
        <v>197</v>
      </c>
      <c r="F253" s="16"/>
      <c r="G253" s="465"/>
      <c r="H253" s="465" t="s">
        <v>198</v>
      </c>
      <c r="I253" s="862"/>
    </row>
    <row r="254" spans="1:9" ht="18">
      <c r="A254" s="460"/>
      <c r="B254" s="465"/>
      <c r="C254" s="465"/>
      <c r="D254" s="463"/>
      <c r="E254" s="467"/>
      <c r="F254" s="16"/>
      <c r="G254" s="465"/>
      <c r="H254" s="465"/>
      <c r="I254" s="862"/>
    </row>
    <row r="255" spans="1:9" ht="18">
      <c r="A255" s="460"/>
      <c r="B255" s="465"/>
      <c r="C255" s="465"/>
      <c r="D255" s="463"/>
      <c r="E255" s="511"/>
      <c r="F255" s="16"/>
      <c r="G255" s="465"/>
      <c r="H255" s="465"/>
      <c r="I255" s="249"/>
    </row>
    <row r="256" spans="1:9" ht="18">
      <c r="A256" s="460"/>
      <c r="B256" s="465"/>
      <c r="C256" s="465"/>
      <c r="D256" s="463"/>
      <c r="E256" s="467"/>
      <c r="F256" s="16"/>
      <c r="G256" s="465"/>
      <c r="H256" s="465"/>
      <c r="I256" s="249"/>
    </row>
    <row r="257" spans="1:9" ht="18">
      <c r="A257" s="460"/>
      <c r="B257" s="465" t="s">
        <v>497</v>
      </c>
      <c r="C257" s="465"/>
      <c r="D257" s="463"/>
      <c r="E257" s="464" t="str">
        <f>E185</f>
        <v>JANE B. LARIOSA</v>
      </c>
      <c r="F257" s="16"/>
      <c r="G257" s="1091" t="s">
        <v>440</v>
      </c>
      <c r="H257" s="1091"/>
      <c r="I257" s="1092"/>
    </row>
    <row r="258" spans="1:9" ht="18">
      <c r="A258" s="470"/>
      <c r="B258" s="433" t="s">
        <v>277</v>
      </c>
      <c r="C258" s="433"/>
      <c r="D258" s="504"/>
      <c r="E258" s="505" t="str">
        <f>E186</f>
        <v>AO II/OIC MBO</v>
      </c>
      <c r="F258" s="16"/>
      <c r="G258" s="1104" t="s">
        <v>202</v>
      </c>
      <c r="H258" s="1104"/>
      <c r="I258" s="1105"/>
    </row>
    <row r="259" spans="1:9" ht="12.75">
      <c r="A259" s="512"/>
      <c r="B259" s="513"/>
      <c r="C259" s="513"/>
      <c r="D259" s="514"/>
      <c r="E259" s="515"/>
      <c r="F259" s="823"/>
      <c r="G259" s="513"/>
      <c r="H259" s="516"/>
      <c r="I259" s="868"/>
    </row>
    <row r="260" ht="12.75">
      <c r="B260" s="476"/>
    </row>
    <row r="261" ht="12.75">
      <c r="B261" s="476"/>
    </row>
    <row r="262" ht="12.75">
      <c r="B262" s="476"/>
    </row>
    <row r="263" ht="12.75">
      <c r="B263" s="476"/>
    </row>
    <row r="264" ht="12.75">
      <c r="B264" s="476"/>
    </row>
    <row r="265" ht="12.75">
      <c r="B265" s="476"/>
    </row>
    <row r="266" ht="12.75">
      <c r="B266" s="476"/>
    </row>
    <row r="267" ht="12.75">
      <c r="B267" s="476"/>
    </row>
    <row r="268" ht="12.75">
      <c r="B268" s="476"/>
    </row>
    <row r="269" ht="12.75">
      <c r="B269" s="476"/>
    </row>
    <row r="270" ht="12.75">
      <c r="B270" s="476"/>
    </row>
    <row r="271" spans="1:9" ht="15.75">
      <c r="A271" s="480" t="str">
        <f>A3</f>
        <v>LBP Form No. 2</v>
      </c>
      <c r="B271" s="407"/>
      <c r="C271" s="407"/>
      <c r="D271" s="408"/>
      <c r="E271" s="409"/>
      <c r="F271" s="797"/>
      <c r="G271" s="407"/>
      <c r="H271" s="407"/>
      <c r="I271" s="854"/>
    </row>
    <row r="272" spans="1:9" ht="15.75">
      <c r="A272" s="410"/>
      <c r="B272" s="411"/>
      <c r="C272" s="411"/>
      <c r="D272" s="412"/>
      <c r="E272" s="413"/>
      <c r="F272" s="11"/>
      <c r="G272" s="411"/>
      <c r="H272" s="411"/>
      <c r="I272" s="855"/>
    </row>
    <row r="273" spans="1:9" ht="15.75">
      <c r="A273" s="1106" t="str">
        <f>A5</f>
        <v>PROGRAMMED APPROPRIATION AND OBLIGATION BY OBJECT OF EXPENDITURE</v>
      </c>
      <c r="B273" s="1107"/>
      <c r="C273" s="1107"/>
      <c r="D273" s="1107"/>
      <c r="E273" s="1107"/>
      <c r="F273" s="1107"/>
      <c r="G273" s="1107"/>
      <c r="H273" s="1107"/>
      <c r="I273" s="1108"/>
    </row>
    <row r="274" spans="1:9" ht="15.75">
      <c r="A274" s="1109" t="str">
        <f>A6</f>
        <v>Municipality of Trento</v>
      </c>
      <c r="B274" s="1110"/>
      <c r="C274" s="1110"/>
      <c r="D274" s="1110"/>
      <c r="E274" s="1110"/>
      <c r="F274" s="1110"/>
      <c r="G274" s="1110"/>
      <c r="H274" s="1110"/>
      <c r="I274" s="1111"/>
    </row>
    <row r="275" spans="1:9" ht="15.75">
      <c r="A275" s="414" t="s">
        <v>467</v>
      </c>
      <c r="B275" s="411"/>
      <c r="C275" s="411"/>
      <c r="D275" s="412"/>
      <c r="E275" s="413"/>
      <c r="F275" s="11"/>
      <c r="G275" s="411"/>
      <c r="H275" s="411"/>
      <c r="I275" s="855"/>
    </row>
    <row r="276" spans="1:9" ht="12.75">
      <c r="A276" s="425"/>
      <c r="B276" s="10"/>
      <c r="C276" s="10"/>
      <c r="D276" s="481"/>
      <c r="E276" s="482"/>
      <c r="F276" s="812"/>
      <c r="G276" s="10"/>
      <c r="H276" s="483"/>
      <c r="I276" s="865"/>
    </row>
    <row r="277" spans="1:11" s="6" customFormat="1" ht="15.75">
      <c r="A277" s="1112" t="s">
        <v>181</v>
      </c>
      <c r="B277" s="1113"/>
      <c r="C277" s="1114"/>
      <c r="D277" s="415"/>
      <c r="E277" s="416" t="s">
        <v>7</v>
      </c>
      <c r="F277" s="1115" t="str">
        <f>F9</f>
        <v>Current Year 2020 (Estimate)</v>
      </c>
      <c r="G277" s="1116"/>
      <c r="H277" s="1117"/>
      <c r="I277" s="856" t="s">
        <v>10</v>
      </c>
      <c r="J277" s="778"/>
      <c r="K277" s="778"/>
    </row>
    <row r="278" spans="1:11" s="6" customFormat="1" ht="15.75">
      <c r="A278" s="1109"/>
      <c r="B278" s="1110"/>
      <c r="C278" s="1111"/>
      <c r="D278" s="417" t="s">
        <v>5</v>
      </c>
      <c r="E278" s="486" t="str">
        <f>E10</f>
        <v>2019</v>
      </c>
      <c r="F278" s="813" t="s">
        <v>8</v>
      </c>
      <c r="G278" s="485" t="s">
        <v>9</v>
      </c>
      <c r="H278" s="1118" t="s">
        <v>1</v>
      </c>
      <c r="I278" s="813">
        <f>I10</f>
        <v>2021</v>
      </c>
      <c r="J278" s="778"/>
      <c r="K278" s="778"/>
    </row>
    <row r="279" spans="1:11" s="6" customFormat="1" ht="15.75">
      <c r="A279" s="1109"/>
      <c r="B279" s="1110"/>
      <c r="C279" s="1111"/>
      <c r="D279" s="417" t="s">
        <v>12</v>
      </c>
      <c r="E279" s="486" t="s">
        <v>14</v>
      </c>
      <c r="F279" s="813" t="s">
        <v>14</v>
      </c>
      <c r="G279" s="485" t="s">
        <v>15</v>
      </c>
      <c r="H279" s="1119"/>
      <c r="I279" s="813" t="s">
        <v>182</v>
      </c>
      <c r="J279" s="778"/>
      <c r="K279" s="778"/>
    </row>
    <row r="280" spans="1:11" s="6" customFormat="1" ht="12.75">
      <c r="A280" s="1095" t="s">
        <v>183</v>
      </c>
      <c r="B280" s="1096"/>
      <c r="C280" s="1097"/>
      <c r="D280" s="422" t="s">
        <v>184</v>
      </c>
      <c r="E280" s="423" t="s">
        <v>185</v>
      </c>
      <c r="F280" s="814" t="s">
        <v>186</v>
      </c>
      <c r="G280" s="424" t="s">
        <v>187</v>
      </c>
      <c r="H280" s="424" t="s">
        <v>188</v>
      </c>
      <c r="I280" s="832" t="s">
        <v>189</v>
      </c>
      <c r="J280" s="778"/>
      <c r="K280" s="778"/>
    </row>
    <row r="281" spans="1:9" ht="12.75">
      <c r="A281" s="425"/>
      <c r="B281" s="10"/>
      <c r="C281" s="10"/>
      <c r="D281" s="506"/>
      <c r="E281" s="427"/>
      <c r="F281" s="801"/>
      <c r="G281" s="425"/>
      <c r="H281" s="428"/>
      <c r="I281" s="858"/>
    </row>
    <row r="282" spans="1:9" ht="15.75">
      <c r="A282" s="441">
        <v>1</v>
      </c>
      <c r="B282" s="430" t="s">
        <v>190</v>
      </c>
      <c r="C282" s="411"/>
      <c r="D282" s="488"/>
      <c r="E282" s="427"/>
      <c r="F282" s="801"/>
      <c r="G282" s="425"/>
      <c r="H282" s="428"/>
      <c r="I282" s="858"/>
    </row>
    <row r="283" spans="1:9" ht="15.75">
      <c r="A283" s="410"/>
      <c r="B283" s="507">
        <v>1.1</v>
      </c>
      <c r="C283" s="411" t="s">
        <v>159</v>
      </c>
      <c r="D283" s="488"/>
      <c r="E283" s="427"/>
      <c r="F283" s="801"/>
      <c r="G283" s="425"/>
      <c r="H283" s="428"/>
      <c r="I283" s="858"/>
    </row>
    <row r="284" spans="1:9" ht="15.75">
      <c r="A284" s="410"/>
      <c r="B284" s="411"/>
      <c r="C284" s="411" t="s">
        <v>52</v>
      </c>
      <c r="D284" s="488"/>
      <c r="E284" s="434">
        <v>1674594.37</v>
      </c>
      <c r="F284" s="637">
        <v>926410.98</v>
      </c>
      <c r="G284" s="489">
        <f aca="true" t="shared" si="9" ref="G284:G299">H284-F284</f>
        <v>1022775.02</v>
      </c>
      <c r="H284" s="643">
        <v>1949186</v>
      </c>
      <c r="I284" s="643">
        <v>1949544</v>
      </c>
    </row>
    <row r="285" spans="1:9" ht="15.75">
      <c r="A285" s="410"/>
      <c r="B285" s="411"/>
      <c r="C285" s="411" t="s">
        <v>53</v>
      </c>
      <c r="D285" s="488"/>
      <c r="E285" s="434">
        <v>140516.08</v>
      </c>
      <c r="F285" s="637">
        <v>75806.28</v>
      </c>
      <c r="G285" s="489">
        <f t="shared" si="9"/>
        <v>92193.72</v>
      </c>
      <c r="H285" s="643">
        <v>168000</v>
      </c>
      <c r="I285" s="643">
        <f>2000*7*12</f>
        <v>168000</v>
      </c>
    </row>
    <row r="286" spans="1:9" ht="15.75">
      <c r="A286" s="410"/>
      <c r="B286" s="411"/>
      <c r="C286" s="411" t="s">
        <v>54</v>
      </c>
      <c r="D286" s="488"/>
      <c r="E286" s="434">
        <v>81000</v>
      </c>
      <c r="F286" s="637">
        <v>40500</v>
      </c>
      <c r="G286" s="489">
        <f t="shared" si="9"/>
        <v>40500</v>
      </c>
      <c r="H286" s="643">
        <v>81000</v>
      </c>
      <c r="I286" s="643">
        <v>81000</v>
      </c>
    </row>
    <row r="287" spans="1:9" ht="15.75">
      <c r="A287" s="410"/>
      <c r="B287" s="411"/>
      <c r="C287" s="411" t="s">
        <v>55</v>
      </c>
      <c r="D287" s="488"/>
      <c r="E287" s="434">
        <v>81000</v>
      </c>
      <c r="F287" s="637">
        <v>40500</v>
      </c>
      <c r="G287" s="489">
        <f t="shared" si="9"/>
        <v>40500</v>
      </c>
      <c r="H287" s="643">
        <v>81000</v>
      </c>
      <c r="I287" s="643">
        <v>81000</v>
      </c>
    </row>
    <row r="288" spans="1:9" ht="15.75">
      <c r="A288" s="410"/>
      <c r="B288" s="411"/>
      <c r="C288" s="411" t="s">
        <v>484</v>
      </c>
      <c r="D288" s="488"/>
      <c r="E288" s="434">
        <v>36000</v>
      </c>
      <c r="F288" s="637">
        <v>36000</v>
      </c>
      <c r="G288" s="489">
        <f t="shared" si="9"/>
        <v>6000</v>
      </c>
      <c r="H288" s="643">
        <f>6000*7</f>
        <v>42000</v>
      </c>
      <c r="I288" s="643">
        <f>6000*7</f>
        <v>42000</v>
      </c>
    </row>
    <row r="289" spans="1:9" ht="15.75">
      <c r="A289" s="410"/>
      <c r="B289" s="411"/>
      <c r="C289" s="411" t="s">
        <v>0</v>
      </c>
      <c r="D289" s="488"/>
      <c r="E289" s="434">
        <v>145861</v>
      </c>
      <c r="F289" s="637">
        <v>0</v>
      </c>
      <c r="G289" s="489">
        <f t="shared" si="9"/>
        <v>162432.17</v>
      </c>
      <c r="H289" s="643">
        <v>162432.17</v>
      </c>
      <c r="I289" s="643">
        <f>I292</f>
        <v>162462</v>
      </c>
    </row>
    <row r="290" spans="1:9" ht="15.75">
      <c r="A290" s="410"/>
      <c r="B290" s="411"/>
      <c r="C290" s="411" t="s">
        <v>59</v>
      </c>
      <c r="D290" s="488"/>
      <c r="E290" s="434">
        <v>30000</v>
      </c>
      <c r="F290" s="637">
        <v>0</v>
      </c>
      <c r="G290" s="489">
        <f t="shared" si="9"/>
        <v>35000</v>
      </c>
      <c r="H290" s="643">
        <f>5000*7</f>
        <v>35000</v>
      </c>
      <c r="I290" s="643">
        <f>5000*7</f>
        <v>35000</v>
      </c>
    </row>
    <row r="291" spans="1:9" ht="15.75">
      <c r="A291" s="410"/>
      <c r="B291" s="411"/>
      <c r="C291" s="411" t="str">
        <f>C23</f>
        <v>Performance Base Bonus</v>
      </c>
      <c r="D291" s="488"/>
      <c r="E291" s="434">
        <v>148662.15</v>
      </c>
      <c r="F291" s="637">
        <v>94809.65</v>
      </c>
      <c r="G291" s="489">
        <f t="shared" si="9"/>
        <v>62326.850000000006</v>
      </c>
      <c r="H291" s="643">
        <v>157136.5</v>
      </c>
      <c r="I291" s="643">
        <f>I292</f>
        <v>162462</v>
      </c>
    </row>
    <row r="292" spans="1:9" ht="15.75">
      <c r="A292" s="410"/>
      <c r="B292" s="411"/>
      <c r="C292" s="411" t="str">
        <f>C24</f>
        <v>Mid Year</v>
      </c>
      <c r="D292" s="488"/>
      <c r="E292" s="434">
        <v>58903</v>
      </c>
      <c r="F292" s="637">
        <v>150745</v>
      </c>
      <c r="G292" s="489">
        <f t="shared" si="9"/>
        <v>11687.170000000013</v>
      </c>
      <c r="H292" s="643">
        <v>162432.17</v>
      </c>
      <c r="I292" s="643">
        <f>I284/12</f>
        <v>162462</v>
      </c>
    </row>
    <row r="293" spans="1:9" ht="15.75">
      <c r="A293" s="410"/>
      <c r="B293" s="411"/>
      <c r="C293" s="411" t="s">
        <v>485</v>
      </c>
      <c r="D293" s="490"/>
      <c r="E293" s="434">
        <v>200731.85</v>
      </c>
      <c r="F293" s="637">
        <v>111169.31</v>
      </c>
      <c r="G293" s="489">
        <f t="shared" si="9"/>
        <v>122733.00999999998</v>
      </c>
      <c r="H293" s="643">
        <f>H284*12%</f>
        <v>233902.31999999998</v>
      </c>
      <c r="I293" s="643">
        <f>I284*12%</f>
        <v>233945.28</v>
      </c>
    </row>
    <row r="294" spans="1:9" ht="15.75">
      <c r="A294" s="410"/>
      <c r="B294" s="411"/>
      <c r="C294" s="411" t="s">
        <v>61</v>
      </c>
      <c r="D294" s="490"/>
      <c r="E294" s="434">
        <v>12249.16</v>
      </c>
      <c r="F294" s="637">
        <v>4237.43</v>
      </c>
      <c r="G294" s="489">
        <f t="shared" si="9"/>
        <v>34746.29</v>
      </c>
      <c r="H294" s="643">
        <f>H284*2%</f>
        <v>38983.72</v>
      </c>
      <c r="I294" s="643">
        <f>700*12</f>
        <v>8400</v>
      </c>
    </row>
    <row r="295" spans="1:9" ht="15.75">
      <c r="A295" s="410"/>
      <c r="B295" s="411"/>
      <c r="C295" s="411" t="s">
        <v>62</v>
      </c>
      <c r="D295" s="490"/>
      <c r="E295" s="434">
        <v>17556.26</v>
      </c>
      <c r="F295" s="637">
        <v>12322.12</v>
      </c>
      <c r="G295" s="489">
        <f t="shared" si="9"/>
        <v>16915.67</v>
      </c>
      <c r="H295" s="643">
        <f>H284*1.5%</f>
        <v>29237.789999999997</v>
      </c>
      <c r="I295" s="643">
        <f>I284*1.75%</f>
        <v>34117.020000000004</v>
      </c>
    </row>
    <row r="296" spans="1:9" ht="15.75">
      <c r="A296" s="410"/>
      <c r="B296" s="411"/>
      <c r="C296" s="411" t="s">
        <v>262</v>
      </c>
      <c r="D296" s="490"/>
      <c r="E296" s="434">
        <v>6995.42</v>
      </c>
      <c r="F296" s="637">
        <v>3800</v>
      </c>
      <c r="G296" s="489">
        <f t="shared" si="9"/>
        <v>4600</v>
      </c>
      <c r="H296" s="643">
        <f>700*12</f>
        <v>8400</v>
      </c>
      <c r="I296" s="643">
        <f>700*12</f>
        <v>8400</v>
      </c>
    </row>
    <row r="297" spans="1:9" ht="15.75">
      <c r="A297" s="410"/>
      <c r="B297" s="411"/>
      <c r="C297" s="411" t="s">
        <v>64</v>
      </c>
      <c r="D297" s="490"/>
      <c r="E297" s="434"/>
      <c r="F297" s="637">
        <v>110231.16</v>
      </c>
      <c r="G297" s="489">
        <f t="shared" si="9"/>
        <v>156338.81000000003</v>
      </c>
      <c r="H297" s="643">
        <f>179343.26+87226.71</f>
        <v>266569.97000000003</v>
      </c>
      <c r="I297" s="643"/>
    </row>
    <row r="298" spans="1:9" ht="15.75">
      <c r="A298" s="410"/>
      <c r="B298" s="411"/>
      <c r="C298" s="411" t="s">
        <v>66</v>
      </c>
      <c r="D298" s="490"/>
      <c r="E298" s="434">
        <f>60000+150000</f>
        <v>210000</v>
      </c>
      <c r="F298" s="637">
        <v>21213.08</v>
      </c>
      <c r="G298" s="489">
        <f t="shared" si="9"/>
        <v>333733.62</v>
      </c>
      <c r="H298" s="643">
        <v>354946.7</v>
      </c>
      <c r="I298" s="643">
        <f>20000*7</f>
        <v>140000</v>
      </c>
    </row>
    <row r="299" spans="1:9" ht="15.75">
      <c r="A299" s="410"/>
      <c r="B299" s="411"/>
      <c r="C299" s="411" t="str">
        <f>C31</f>
        <v>Productivity Enhancement Incentive</v>
      </c>
      <c r="D299" s="488"/>
      <c r="E299" s="434">
        <v>30000</v>
      </c>
      <c r="F299" s="637">
        <v>0</v>
      </c>
      <c r="G299" s="489">
        <f t="shared" si="9"/>
        <v>35000</v>
      </c>
      <c r="H299" s="643">
        <f>5000*7</f>
        <v>35000</v>
      </c>
      <c r="I299" s="643">
        <f>5000*7</f>
        <v>35000</v>
      </c>
    </row>
    <row r="300" spans="1:9" ht="15.75">
      <c r="A300" s="410"/>
      <c r="B300" s="411"/>
      <c r="C300" s="411" t="s">
        <v>294</v>
      </c>
      <c r="D300" s="490"/>
      <c r="E300" s="434">
        <v>93903</v>
      </c>
      <c r="F300" s="637"/>
      <c r="G300" s="489"/>
      <c r="H300" s="643"/>
      <c r="I300" s="643">
        <f>3702293.4-3303792.3</f>
        <v>398501.1000000001</v>
      </c>
    </row>
    <row r="301" spans="1:9" ht="19.5" customHeight="1">
      <c r="A301" s="410"/>
      <c r="B301" s="411"/>
      <c r="C301" s="411" t="s">
        <v>67</v>
      </c>
      <c r="D301" s="490"/>
      <c r="E301" s="436">
        <f>SUM(E284:E300)</f>
        <v>2967972.29</v>
      </c>
      <c r="F301" s="636">
        <f>SUM(F284:F300)</f>
        <v>1627745.01</v>
      </c>
      <c r="G301" s="436">
        <f>SUM(G284:G300)</f>
        <v>2177482.33</v>
      </c>
      <c r="H301" s="436">
        <f>SUM(H284:H300)</f>
        <v>3805227.3400000003</v>
      </c>
      <c r="I301" s="845">
        <f>SUM(I284:I300)</f>
        <v>3702293.4</v>
      </c>
    </row>
    <row r="302" spans="1:9" ht="15.75">
      <c r="A302" s="410"/>
      <c r="B302" s="411"/>
      <c r="C302" s="411"/>
      <c r="D302" s="488"/>
      <c r="E302" s="413"/>
      <c r="F302" s="739"/>
      <c r="G302" s="434"/>
      <c r="H302" s="434"/>
      <c r="I302" s="637"/>
    </row>
    <row r="303" spans="1:9" ht="15.75">
      <c r="A303" s="410"/>
      <c r="B303" s="507">
        <v>1.2</v>
      </c>
      <c r="C303" s="411" t="s">
        <v>191</v>
      </c>
      <c r="D303" s="488"/>
      <c r="E303" s="492"/>
      <c r="F303" s="818"/>
      <c r="G303" s="434"/>
      <c r="H303" s="434"/>
      <c r="I303" s="637"/>
    </row>
    <row r="304" spans="1:9" ht="15.75">
      <c r="A304" s="410"/>
      <c r="B304" s="411"/>
      <c r="C304" s="411" t="s">
        <v>199</v>
      </c>
      <c r="D304" s="488"/>
      <c r="E304" s="413"/>
      <c r="F304" s="637"/>
      <c r="G304" s="434"/>
      <c r="H304" s="434"/>
      <c r="I304" s="637"/>
    </row>
    <row r="305" spans="1:9" ht="15.75">
      <c r="A305" s="410"/>
      <c r="B305" s="411"/>
      <c r="C305" s="493"/>
      <c r="D305" s="488"/>
      <c r="E305" s="413"/>
      <c r="F305" s="637"/>
      <c r="G305" s="434"/>
      <c r="H305" s="434"/>
      <c r="I305" s="638"/>
    </row>
    <row r="306" spans="1:9" ht="15.75">
      <c r="A306" s="410"/>
      <c r="B306" s="411"/>
      <c r="C306" s="493" t="s">
        <v>69</v>
      </c>
      <c r="D306" s="488"/>
      <c r="E306" s="413">
        <v>130330.12</v>
      </c>
      <c r="F306" s="637">
        <v>29440</v>
      </c>
      <c r="G306" s="434">
        <f>H306-F306</f>
        <v>120560</v>
      </c>
      <c r="H306" s="637">
        <v>150000</v>
      </c>
      <c r="I306" s="637">
        <v>50000</v>
      </c>
    </row>
    <row r="307" spans="1:9" ht="15.75">
      <c r="A307" s="410"/>
      <c r="B307" s="411"/>
      <c r="C307" s="493" t="s">
        <v>176</v>
      </c>
      <c r="D307" s="488"/>
      <c r="E307" s="413">
        <v>20000</v>
      </c>
      <c r="F307" s="637">
        <v>12500</v>
      </c>
      <c r="G307" s="434">
        <f>H307-F307</f>
        <v>37500</v>
      </c>
      <c r="H307" s="637">
        <v>50000</v>
      </c>
      <c r="I307" s="637">
        <v>30000</v>
      </c>
    </row>
    <row r="308" spans="1:9" ht="15.75">
      <c r="A308" s="410"/>
      <c r="B308" s="411"/>
      <c r="C308" s="411" t="s">
        <v>97</v>
      </c>
      <c r="D308" s="488"/>
      <c r="E308" s="413">
        <v>24000</v>
      </c>
      <c r="F308" s="637">
        <v>12000</v>
      </c>
      <c r="G308" s="434">
        <f>H308-F308</f>
        <v>12000</v>
      </c>
      <c r="H308" s="637">
        <v>24000</v>
      </c>
      <c r="I308" s="637">
        <v>24000</v>
      </c>
    </row>
    <row r="309" spans="1:9" ht="15.75">
      <c r="A309" s="410"/>
      <c r="B309" s="411"/>
      <c r="C309" s="493" t="s">
        <v>81</v>
      </c>
      <c r="D309" s="490"/>
      <c r="E309" s="434"/>
      <c r="F309" s="637">
        <v>0</v>
      </c>
      <c r="G309" s="434">
        <f>H309-F309</f>
        <v>10000</v>
      </c>
      <c r="H309" s="637">
        <v>10000</v>
      </c>
      <c r="I309" s="637">
        <v>10000</v>
      </c>
    </row>
    <row r="310" spans="1:9" ht="15.75">
      <c r="A310" s="410"/>
      <c r="B310" s="411"/>
      <c r="C310" s="411" t="s">
        <v>265</v>
      </c>
      <c r="D310" s="488"/>
      <c r="E310" s="494"/>
      <c r="F310" s="637">
        <v>0</v>
      </c>
      <c r="G310" s="434">
        <f>H310-F310</f>
        <v>50000</v>
      </c>
      <c r="H310" s="637">
        <v>50000</v>
      </c>
      <c r="I310" s="637">
        <v>50000</v>
      </c>
    </row>
    <row r="311" spans="1:9" ht="15.75">
      <c r="A311" s="410"/>
      <c r="B311" s="411"/>
      <c r="C311" s="493" t="s">
        <v>192</v>
      </c>
      <c r="D311" s="490"/>
      <c r="E311" s="1121">
        <f>SUM(E306:E310)</f>
        <v>174330.12</v>
      </c>
      <c r="F311" s="820"/>
      <c r="G311" s="1123">
        <f>SUM(G306:G310)</f>
        <v>230060</v>
      </c>
      <c r="H311" s="766"/>
      <c r="I311" s="1125">
        <f>SUM(I306:I310)</f>
        <v>164000</v>
      </c>
    </row>
    <row r="312" spans="1:9" ht="15.75">
      <c r="A312" s="410"/>
      <c r="B312" s="411"/>
      <c r="C312" s="493" t="s">
        <v>193</v>
      </c>
      <c r="D312" s="490"/>
      <c r="E312" s="1122"/>
      <c r="F312" s="774">
        <f>SUM(F306:F311)</f>
        <v>53940</v>
      </c>
      <c r="G312" s="1124"/>
      <c r="H312" s="767">
        <f>SUM(H306:H311)</f>
        <v>284000</v>
      </c>
      <c r="I312" s="1126"/>
    </row>
    <row r="313" spans="1:9" ht="15.75">
      <c r="A313" s="410"/>
      <c r="B313" s="411"/>
      <c r="C313" s="493"/>
      <c r="D313" s="490"/>
      <c r="E313" s="437"/>
      <c r="F313" s="824"/>
      <c r="G313" s="517"/>
      <c r="H313" s="509"/>
      <c r="I313" s="822"/>
    </row>
    <row r="314" spans="1:9" ht="15.75">
      <c r="A314" s="441">
        <v>2</v>
      </c>
      <c r="B314" s="411" t="s">
        <v>89</v>
      </c>
      <c r="C314" s="493"/>
      <c r="D314" s="490"/>
      <c r="E314" s="434"/>
      <c r="F314" s="639"/>
      <c r="G314" s="440"/>
      <c r="H314" s="510"/>
      <c r="I314" s="642"/>
    </row>
    <row r="315" spans="1:9" ht="15.75">
      <c r="A315" s="410"/>
      <c r="B315" s="411"/>
      <c r="C315" s="493" t="s">
        <v>90</v>
      </c>
      <c r="D315" s="490"/>
      <c r="E315" s="518"/>
      <c r="F315" s="651"/>
      <c r="G315" s="510">
        <f>H315-F315</f>
        <v>60000</v>
      </c>
      <c r="H315" s="642">
        <v>60000</v>
      </c>
      <c r="I315" s="642">
        <v>0</v>
      </c>
    </row>
    <row r="316" spans="1:9" ht="15.75">
      <c r="A316" s="410"/>
      <c r="B316" s="411"/>
      <c r="C316" s="493" t="s">
        <v>92</v>
      </c>
      <c r="D316" s="490"/>
      <c r="E316" s="520">
        <v>44900</v>
      </c>
      <c r="F316" s="825"/>
      <c r="G316" s="510">
        <f>H316-F316</f>
        <v>50000</v>
      </c>
      <c r="H316" s="640">
        <v>50000</v>
      </c>
      <c r="I316" s="640">
        <v>0</v>
      </c>
    </row>
    <row r="317" spans="1:9" ht="15.75">
      <c r="A317" s="497"/>
      <c r="B317" s="498"/>
      <c r="C317" s="499" t="s">
        <v>94</v>
      </c>
      <c r="D317" s="522"/>
      <c r="E317" s="765">
        <f>SUM(E315:E316)</f>
        <v>44900</v>
      </c>
      <c r="F317" s="774">
        <f>SUM(F315:F316)</f>
        <v>0</v>
      </c>
      <c r="G317" s="447">
        <f>SUM(G315:G316)</f>
        <v>110000</v>
      </c>
      <c r="H317" s="523">
        <f>SUM(H315:H316)</f>
        <v>110000</v>
      </c>
      <c r="I317" s="839">
        <f>SUM(I314:I316)</f>
        <v>0</v>
      </c>
    </row>
    <row r="318" spans="1:9" ht="19.5" customHeight="1">
      <c r="A318" s="443" t="s">
        <v>206</v>
      </c>
      <c r="B318" s="444"/>
      <c r="C318" s="444"/>
      <c r="D318" s="524"/>
      <c r="E318" s="436">
        <f>+E317+E311+E301</f>
        <v>3187202.41</v>
      </c>
      <c r="F318" s="773">
        <f>F317+F312+F301</f>
        <v>1681685.01</v>
      </c>
      <c r="G318" s="447">
        <f>G317+G311+G301</f>
        <v>2517542.33</v>
      </c>
      <c r="H318" s="447">
        <f>H301+H312+H317</f>
        <v>4199227.34</v>
      </c>
      <c r="I318" s="773">
        <f>I301+I311+I317</f>
        <v>3866293.4</v>
      </c>
    </row>
    <row r="319" spans="1:9" ht="12.75">
      <c r="A319" s="448"/>
      <c r="B319" s="449"/>
      <c r="C319" s="450"/>
      <c r="D319" s="501"/>
      <c r="E319" s="452"/>
      <c r="F319" s="805"/>
      <c r="G319" s="449"/>
      <c r="H319" s="453"/>
      <c r="I319" s="860"/>
    </row>
    <row r="320" spans="1:9" ht="12.75">
      <c r="A320" s="454"/>
      <c r="B320" s="455"/>
      <c r="C320" s="456"/>
      <c r="D320" s="451"/>
      <c r="E320" s="457"/>
      <c r="F320" s="806"/>
      <c r="G320" s="459"/>
      <c r="H320" s="458"/>
      <c r="I320" s="861"/>
    </row>
    <row r="321" spans="1:9" ht="18">
      <c r="A321" s="460" t="s">
        <v>196</v>
      </c>
      <c r="B321" s="503"/>
      <c r="C321" s="456"/>
      <c r="D321" s="463"/>
      <c r="E321" s="464" t="s">
        <v>197</v>
      </c>
      <c r="F321" s="16"/>
      <c r="G321" s="465"/>
      <c r="H321" s="465" t="s">
        <v>198</v>
      </c>
      <c r="I321" s="862"/>
    </row>
    <row r="322" spans="1:9" ht="18">
      <c r="A322" s="460"/>
      <c r="B322" s="465"/>
      <c r="C322" s="465"/>
      <c r="D322" s="463"/>
      <c r="E322" s="467"/>
      <c r="F322" s="16"/>
      <c r="G322" s="465"/>
      <c r="H322" s="465"/>
      <c r="I322" s="862"/>
    </row>
    <row r="323" spans="1:9" ht="18">
      <c r="A323" s="460"/>
      <c r="B323" s="465"/>
      <c r="C323" s="465"/>
      <c r="D323" s="463"/>
      <c r="E323" s="525"/>
      <c r="F323" s="16"/>
      <c r="G323" s="465"/>
      <c r="H323" s="465"/>
      <c r="I323" s="249"/>
    </row>
    <row r="324" spans="1:9" ht="18">
      <c r="A324" s="460"/>
      <c r="B324" s="465"/>
      <c r="C324" s="465"/>
      <c r="D324" s="463"/>
      <c r="E324" s="467"/>
      <c r="F324" s="16"/>
      <c r="G324" s="465"/>
      <c r="H324" s="465"/>
      <c r="I324" s="249"/>
    </row>
    <row r="325" spans="1:9" ht="18">
      <c r="A325" s="460" t="s">
        <v>442</v>
      </c>
      <c r="B325" s="465"/>
      <c r="C325" s="465"/>
      <c r="D325" s="1103" t="str">
        <f>E185</f>
        <v>JANE B. LARIOSA</v>
      </c>
      <c r="E325" s="1091"/>
      <c r="F325" s="1091"/>
      <c r="G325" s="1091" t="s">
        <v>204</v>
      </c>
      <c r="H325" s="1091"/>
      <c r="I325" s="1092"/>
    </row>
    <row r="326" spans="1:9" ht="18">
      <c r="A326" s="470" t="s">
        <v>441</v>
      </c>
      <c r="B326" s="433"/>
      <c r="C326" s="433"/>
      <c r="D326" s="1140" t="str">
        <f>E186</f>
        <v>AO II/OIC MBO</v>
      </c>
      <c r="E326" s="1104"/>
      <c r="F326" s="1104"/>
      <c r="G326" s="1104" t="s">
        <v>202</v>
      </c>
      <c r="H326" s="1104"/>
      <c r="I326" s="1105"/>
    </row>
    <row r="327" spans="1:9" ht="18">
      <c r="A327" s="470"/>
      <c r="B327" s="433"/>
      <c r="C327" s="433"/>
      <c r="D327" s="504"/>
      <c r="E327" s="759"/>
      <c r="F327" s="826"/>
      <c r="G327" s="759"/>
      <c r="H327" s="759"/>
      <c r="I327" s="869"/>
    </row>
    <row r="328" spans="1:9" ht="14.25" customHeight="1">
      <c r="A328" s="526"/>
      <c r="B328" s="527"/>
      <c r="C328" s="527"/>
      <c r="D328" s="528"/>
      <c r="E328" s="529"/>
      <c r="F328" s="827"/>
      <c r="G328" s="527"/>
      <c r="H328" s="527"/>
      <c r="I328" s="870"/>
    </row>
    <row r="329" ht="12.75">
      <c r="B329" s="476"/>
    </row>
    <row r="330" ht="12.75">
      <c r="B330" s="476"/>
    </row>
    <row r="331" ht="12.75">
      <c r="B331" s="476"/>
    </row>
    <row r="332" ht="12.75">
      <c r="B332" s="476"/>
    </row>
    <row r="333" ht="12.75">
      <c r="B333" s="476"/>
    </row>
    <row r="334" ht="12.75">
      <c r="B334" s="476"/>
    </row>
    <row r="335" ht="12.75">
      <c r="B335" s="476"/>
    </row>
    <row r="336" ht="12.75">
      <c r="B336" s="476"/>
    </row>
    <row r="337" ht="12.75">
      <c r="B337" s="476"/>
    </row>
    <row r="338" ht="12.75">
      <c r="B338" s="476"/>
    </row>
    <row r="339" ht="12.75">
      <c r="B339" s="476"/>
    </row>
    <row r="340" ht="12.75">
      <c r="B340" s="476"/>
    </row>
    <row r="341" ht="12.75">
      <c r="B341" s="476"/>
    </row>
    <row r="342" ht="12.75">
      <c r="B342" s="476"/>
    </row>
    <row r="343" ht="12.75">
      <c r="B343" s="476"/>
    </row>
    <row r="344" spans="1:9" ht="15.75">
      <c r="A344" s="480" t="str">
        <f>A3</f>
        <v>LBP Form No. 2</v>
      </c>
      <c r="B344" s="407"/>
      <c r="C344" s="407"/>
      <c r="D344" s="408"/>
      <c r="E344" s="409"/>
      <c r="F344" s="797"/>
      <c r="G344" s="407"/>
      <c r="H344" s="407"/>
      <c r="I344" s="854"/>
    </row>
    <row r="345" spans="1:9" ht="15.75">
      <c r="A345" s="410"/>
      <c r="B345" s="411"/>
      <c r="C345" s="411"/>
      <c r="D345" s="412"/>
      <c r="E345" s="413"/>
      <c r="F345" s="11"/>
      <c r="G345" s="411"/>
      <c r="H345" s="411"/>
      <c r="I345" s="855"/>
    </row>
    <row r="346" spans="1:9" ht="15.75">
      <c r="A346" s="1106" t="str">
        <f>A5</f>
        <v>PROGRAMMED APPROPRIATION AND OBLIGATION BY OBJECT OF EXPENDITURE</v>
      </c>
      <c r="B346" s="1107"/>
      <c r="C346" s="1107"/>
      <c r="D346" s="1107"/>
      <c r="E346" s="1107"/>
      <c r="F346" s="1107"/>
      <c r="G346" s="1107"/>
      <c r="H346" s="1107"/>
      <c r="I346" s="1108"/>
    </row>
    <row r="347" spans="1:9" ht="15.75">
      <c r="A347" s="1109" t="str">
        <f>A6</f>
        <v>Municipality of Trento</v>
      </c>
      <c r="B347" s="1110"/>
      <c r="C347" s="1110"/>
      <c r="D347" s="1110"/>
      <c r="E347" s="1110"/>
      <c r="F347" s="1110"/>
      <c r="G347" s="1110"/>
      <c r="H347" s="1110"/>
      <c r="I347" s="1111"/>
    </row>
    <row r="348" spans="1:9" ht="15.75">
      <c r="A348" s="414" t="s">
        <v>468</v>
      </c>
      <c r="B348" s="411"/>
      <c r="C348" s="411"/>
      <c r="D348" s="412"/>
      <c r="E348" s="413"/>
      <c r="F348" s="11"/>
      <c r="G348" s="411"/>
      <c r="H348" s="411"/>
      <c r="I348" s="855"/>
    </row>
    <row r="349" spans="1:9" ht="12.75">
      <c r="A349" s="425"/>
      <c r="B349" s="10"/>
      <c r="C349" s="10"/>
      <c r="D349" s="481"/>
      <c r="E349" s="482"/>
      <c r="F349" s="812"/>
      <c r="G349" s="10"/>
      <c r="H349" s="483"/>
      <c r="I349" s="865"/>
    </row>
    <row r="350" spans="1:11" s="6" customFormat="1" ht="15.75">
      <c r="A350" s="1112" t="s">
        <v>181</v>
      </c>
      <c r="B350" s="1113"/>
      <c r="C350" s="1114"/>
      <c r="D350" s="530"/>
      <c r="E350" s="416" t="s">
        <v>7</v>
      </c>
      <c r="F350" s="1115" t="str">
        <f>F9</f>
        <v>Current Year 2020 (Estimate)</v>
      </c>
      <c r="G350" s="1116"/>
      <c r="H350" s="1117"/>
      <c r="I350" s="856" t="s">
        <v>10</v>
      </c>
      <c r="J350" s="778"/>
      <c r="K350" s="778"/>
    </row>
    <row r="351" spans="1:11" s="6" customFormat="1" ht="15.75">
      <c r="A351" s="1109"/>
      <c r="B351" s="1110"/>
      <c r="C351" s="1111"/>
      <c r="D351" s="417" t="s">
        <v>5</v>
      </c>
      <c r="E351" s="486" t="str">
        <f>E10</f>
        <v>2019</v>
      </c>
      <c r="F351" s="813" t="s">
        <v>8</v>
      </c>
      <c r="G351" s="485" t="s">
        <v>9</v>
      </c>
      <c r="H351" s="1118" t="s">
        <v>1</v>
      </c>
      <c r="I351" s="813">
        <f>I10</f>
        <v>2021</v>
      </c>
      <c r="J351" s="778"/>
      <c r="K351" s="778"/>
    </row>
    <row r="352" spans="1:11" s="6" customFormat="1" ht="15.75">
      <c r="A352" s="1109"/>
      <c r="B352" s="1110"/>
      <c r="C352" s="1111"/>
      <c r="D352" s="417" t="s">
        <v>12</v>
      </c>
      <c r="E352" s="486" t="s">
        <v>14</v>
      </c>
      <c r="F352" s="813" t="s">
        <v>14</v>
      </c>
      <c r="G352" s="485" t="s">
        <v>15</v>
      </c>
      <c r="H352" s="1119"/>
      <c r="I352" s="813" t="s">
        <v>182</v>
      </c>
      <c r="J352" s="778"/>
      <c r="K352" s="778"/>
    </row>
    <row r="353" spans="1:11" s="6" customFormat="1" ht="12.75">
      <c r="A353" s="1095" t="s">
        <v>183</v>
      </c>
      <c r="B353" s="1096"/>
      <c r="C353" s="1097"/>
      <c r="D353" s="422" t="s">
        <v>184</v>
      </c>
      <c r="E353" s="423" t="s">
        <v>185</v>
      </c>
      <c r="F353" s="814" t="s">
        <v>186</v>
      </c>
      <c r="G353" s="424" t="s">
        <v>187</v>
      </c>
      <c r="H353" s="424" t="s">
        <v>188</v>
      </c>
      <c r="I353" s="832" t="s">
        <v>189</v>
      </c>
      <c r="J353" s="778"/>
      <c r="K353" s="778"/>
    </row>
    <row r="354" spans="1:9" ht="12.75">
      <c r="A354" s="425"/>
      <c r="B354" s="10"/>
      <c r="C354" s="10"/>
      <c r="D354" s="506"/>
      <c r="E354" s="427"/>
      <c r="F354" s="801"/>
      <c r="G354" s="425"/>
      <c r="H354" s="428"/>
      <c r="I354" s="866"/>
    </row>
    <row r="355" spans="1:9" ht="15.75">
      <c r="A355" s="441">
        <v>1</v>
      </c>
      <c r="B355" s="430" t="s">
        <v>190</v>
      </c>
      <c r="C355" s="411"/>
      <c r="D355" s="488"/>
      <c r="E355" s="427"/>
      <c r="F355" s="801"/>
      <c r="G355" s="425"/>
      <c r="H355" s="428"/>
      <c r="I355" s="871"/>
    </row>
    <row r="356" spans="1:9" ht="15.75">
      <c r="A356" s="410"/>
      <c r="B356" s="507">
        <v>1.1</v>
      </c>
      <c r="C356" s="411" t="s">
        <v>159</v>
      </c>
      <c r="D356" s="488"/>
      <c r="E356" s="434"/>
      <c r="F356" s="815"/>
      <c r="G356" s="410"/>
      <c r="H356" s="410"/>
      <c r="I356" s="639"/>
    </row>
    <row r="357" spans="1:9" ht="15.75">
      <c r="A357" s="410"/>
      <c r="B357" s="411"/>
      <c r="C357" s="411" t="s">
        <v>52</v>
      </c>
      <c r="D357" s="488"/>
      <c r="E357" s="434">
        <v>3650867.76</v>
      </c>
      <c r="F357" s="637">
        <v>1961247.68</v>
      </c>
      <c r="G357" s="434">
        <f aca="true" t="shared" si="10" ref="G357:G374">H357-F357</f>
        <v>2762564.3200000003</v>
      </c>
      <c r="H357" s="639">
        <v>4723812</v>
      </c>
      <c r="I357" s="639">
        <v>4281315</v>
      </c>
    </row>
    <row r="358" spans="1:9" ht="15.75">
      <c r="A358" s="410"/>
      <c r="B358" s="411"/>
      <c r="C358" s="411" t="s">
        <v>53</v>
      </c>
      <c r="D358" s="488"/>
      <c r="E358" s="434">
        <v>372788.54</v>
      </c>
      <c r="F358" s="637">
        <v>186610.76</v>
      </c>
      <c r="G358" s="434">
        <f t="shared" si="10"/>
        <v>293389.24</v>
      </c>
      <c r="H358" s="639">
        <f>2000*20*12</f>
        <v>480000</v>
      </c>
      <c r="I358" s="639">
        <f>2000*19*12</f>
        <v>456000</v>
      </c>
    </row>
    <row r="359" spans="1:9" ht="15.75">
      <c r="A359" s="410"/>
      <c r="B359" s="411"/>
      <c r="C359" s="411" t="s">
        <v>54</v>
      </c>
      <c r="D359" s="488"/>
      <c r="E359" s="434">
        <v>81000</v>
      </c>
      <c r="F359" s="637">
        <v>40500</v>
      </c>
      <c r="G359" s="434">
        <f t="shared" si="10"/>
        <v>40500</v>
      </c>
      <c r="H359" s="639">
        <v>81000</v>
      </c>
      <c r="I359" s="639">
        <v>81000</v>
      </c>
    </row>
    <row r="360" spans="1:9" ht="15.75">
      <c r="A360" s="410"/>
      <c r="B360" s="411"/>
      <c r="C360" s="411" t="s">
        <v>55</v>
      </c>
      <c r="D360" s="488"/>
      <c r="E360" s="434">
        <v>81000</v>
      </c>
      <c r="F360" s="637">
        <v>40500</v>
      </c>
      <c r="G360" s="434">
        <f t="shared" si="10"/>
        <v>40500</v>
      </c>
      <c r="H360" s="639">
        <v>81000</v>
      </c>
      <c r="I360" s="639">
        <v>81000</v>
      </c>
    </row>
    <row r="361" spans="1:9" ht="15.75">
      <c r="A361" s="410"/>
      <c r="B361" s="411"/>
      <c r="C361" s="411" t="s">
        <v>484</v>
      </c>
      <c r="D361" s="488"/>
      <c r="E361" s="434">
        <v>96000</v>
      </c>
      <c r="F361" s="637">
        <v>90000</v>
      </c>
      <c r="G361" s="434">
        <f t="shared" si="10"/>
        <v>30000</v>
      </c>
      <c r="H361" s="639">
        <f>6000*20</f>
        <v>120000</v>
      </c>
      <c r="I361" s="639">
        <f>6000*19</f>
        <v>114000</v>
      </c>
    </row>
    <row r="362" spans="1:9" ht="15.75">
      <c r="A362" s="410"/>
      <c r="B362" s="411"/>
      <c r="C362" s="411" t="s">
        <v>0</v>
      </c>
      <c r="D362" s="488"/>
      <c r="E362" s="434">
        <v>309996</v>
      </c>
      <c r="F362" s="637">
        <v>0</v>
      </c>
      <c r="G362" s="434">
        <f t="shared" si="10"/>
        <v>449605</v>
      </c>
      <c r="H362" s="639">
        <v>449605</v>
      </c>
      <c r="I362" s="639">
        <f>I365</f>
        <v>356776.25</v>
      </c>
    </row>
    <row r="363" spans="1:9" ht="15.75">
      <c r="A363" s="410"/>
      <c r="B363" s="411"/>
      <c r="C363" s="411" t="s">
        <v>59</v>
      </c>
      <c r="D363" s="488"/>
      <c r="E363" s="434">
        <v>80000</v>
      </c>
      <c r="F363" s="637">
        <v>0</v>
      </c>
      <c r="G363" s="434">
        <f t="shared" si="10"/>
        <v>100000</v>
      </c>
      <c r="H363" s="639">
        <f>5000*20</f>
        <v>100000</v>
      </c>
      <c r="I363" s="639">
        <f>5000*19</f>
        <v>95000</v>
      </c>
    </row>
    <row r="364" spans="1:9" ht="15.75">
      <c r="A364" s="410"/>
      <c r="B364" s="411"/>
      <c r="C364" s="411" t="str">
        <f>C23</f>
        <v>Performance Base Bonus</v>
      </c>
      <c r="D364" s="488"/>
      <c r="E364" s="434">
        <v>352156.35</v>
      </c>
      <c r="F364" s="637">
        <v>221014.31</v>
      </c>
      <c r="G364" s="434">
        <f t="shared" si="10"/>
        <v>157624.69</v>
      </c>
      <c r="H364" s="639">
        <v>378639</v>
      </c>
      <c r="I364" s="639">
        <f>I357/12</f>
        <v>356776.25</v>
      </c>
    </row>
    <row r="365" spans="1:9" ht="15.75">
      <c r="A365" s="410"/>
      <c r="B365" s="411"/>
      <c r="C365" s="411" t="str">
        <f>C24</f>
        <v>Mid Year</v>
      </c>
      <c r="D365" s="488"/>
      <c r="E365" s="434">
        <v>289734</v>
      </c>
      <c r="F365" s="637">
        <v>308382</v>
      </c>
      <c r="G365" s="434">
        <f t="shared" si="10"/>
        <v>141223</v>
      </c>
      <c r="H365" s="639">
        <v>449605</v>
      </c>
      <c r="I365" s="639">
        <f>I364</f>
        <v>356776.25</v>
      </c>
    </row>
    <row r="366" spans="1:9" ht="15.75">
      <c r="A366" s="410"/>
      <c r="B366" s="411"/>
      <c r="C366" s="411" t="s">
        <v>485</v>
      </c>
      <c r="D366" s="490"/>
      <c r="E366" s="434">
        <v>416107.04</v>
      </c>
      <c r="F366" s="637">
        <v>225625.2</v>
      </c>
      <c r="G366" s="434">
        <f t="shared" si="10"/>
        <v>341232.23999999993</v>
      </c>
      <c r="H366" s="639">
        <f>H357*12%</f>
        <v>566857.44</v>
      </c>
      <c r="I366" s="639">
        <f>I357*12%</f>
        <v>513757.8</v>
      </c>
    </row>
    <row r="367" spans="1:9" ht="15.75">
      <c r="A367" s="410"/>
      <c r="B367" s="411"/>
      <c r="C367" s="411" t="s">
        <v>61</v>
      </c>
      <c r="D367" s="490"/>
      <c r="E367" s="434">
        <v>27263.4</v>
      </c>
      <c r="F367" s="637">
        <v>9905.76</v>
      </c>
      <c r="G367" s="434">
        <f t="shared" si="10"/>
        <v>84570.48000000001</v>
      </c>
      <c r="H367" s="639">
        <f>H357*2%</f>
        <v>94476.24</v>
      </c>
      <c r="I367" s="639">
        <f>100*19*12</f>
        <v>22800</v>
      </c>
    </row>
    <row r="368" spans="1:9" ht="15.75">
      <c r="A368" s="410"/>
      <c r="B368" s="411"/>
      <c r="C368" s="411" t="s">
        <v>62</v>
      </c>
      <c r="D368" s="490"/>
      <c r="E368" s="434">
        <v>41730.2</v>
      </c>
      <c r="F368" s="637">
        <v>26273.7</v>
      </c>
      <c r="G368" s="434">
        <f t="shared" si="10"/>
        <v>44583.479999999996</v>
      </c>
      <c r="H368" s="644">
        <f>H357*1.5%</f>
        <v>70857.18</v>
      </c>
      <c r="I368" s="644">
        <f>I357*1.75%</f>
        <v>74923.01250000001</v>
      </c>
    </row>
    <row r="369" spans="1:9" ht="15.75">
      <c r="A369" s="410"/>
      <c r="B369" s="411"/>
      <c r="C369" s="411" t="s">
        <v>262</v>
      </c>
      <c r="D369" s="490"/>
      <c r="E369" s="434">
        <v>18388.55</v>
      </c>
      <c r="F369" s="637">
        <v>9197.66</v>
      </c>
      <c r="G369" s="434">
        <f t="shared" si="10"/>
        <v>14802.34</v>
      </c>
      <c r="H369" s="639">
        <f>100*20*12</f>
        <v>24000</v>
      </c>
      <c r="I369" s="639">
        <f>100*19*12</f>
        <v>22800</v>
      </c>
    </row>
    <row r="370" spans="1:9" ht="15.75">
      <c r="A370" s="410"/>
      <c r="B370" s="411"/>
      <c r="C370" s="411" t="s">
        <v>64</v>
      </c>
      <c r="D370" s="490"/>
      <c r="E370" s="434">
        <v>306828</v>
      </c>
      <c r="F370" s="637">
        <v>0</v>
      </c>
      <c r="G370" s="434">
        <f t="shared" si="10"/>
        <v>255986.97</v>
      </c>
      <c r="H370" s="645">
        <f>31600+224386.97</f>
        <v>255986.97</v>
      </c>
      <c r="I370" s="872"/>
    </row>
    <row r="371" spans="1:9" ht="15.75">
      <c r="A371" s="410"/>
      <c r="B371" s="411"/>
      <c r="C371" s="411" t="s">
        <v>66</v>
      </c>
      <c r="D371" s="490"/>
      <c r="E371" s="434"/>
      <c r="F371" s="637">
        <v>94155.4</v>
      </c>
      <c r="G371" s="434">
        <f t="shared" si="10"/>
        <v>405282.55000000005</v>
      </c>
      <c r="H371" s="639">
        <v>499437.95</v>
      </c>
      <c r="I371" s="639">
        <f>20000*19</f>
        <v>380000</v>
      </c>
    </row>
    <row r="372" spans="1:9" ht="15.75">
      <c r="A372" s="410"/>
      <c r="B372" s="411"/>
      <c r="C372" s="411" t="str">
        <f>C31</f>
        <v>Productivity Enhancement Incentive</v>
      </c>
      <c r="D372" s="488"/>
      <c r="E372" s="413">
        <v>90000</v>
      </c>
      <c r="F372" s="637">
        <v>0</v>
      </c>
      <c r="G372" s="434">
        <f t="shared" si="10"/>
        <v>100000</v>
      </c>
      <c r="H372" s="639">
        <f>5000*20</f>
        <v>100000</v>
      </c>
      <c r="I372" s="639">
        <f>5000*19</f>
        <v>95000</v>
      </c>
    </row>
    <row r="373" spans="1:9" ht="15.75">
      <c r="A373" s="410"/>
      <c r="B373" s="411"/>
      <c r="C373" s="411" t="s">
        <v>207</v>
      </c>
      <c r="D373" s="490"/>
      <c r="E373" s="434"/>
      <c r="F373" s="637">
        <v>0</v>
      </c>
      <c r="G373" s="434">
        <f t="shared" si="10"/>
        <v>2000</v>
      </c>
      <c r="H373" s="639">
        <v>2000</v>
      </c>
      <c r="I373" s="639">
        <v>2000</v>
      </c>
    </row>
    <row r="374" spans="1:9" ht="15.75">
      <c r="A374" s="410"/>
      <c r="B374" s="411"/>
      <c r="C374" s="411" t="s">
        <v>294</v>
      </c>
      <c r="D374" s="490"/>
      <c r="E374" s="434">
        <f>152829.13+400000</f>
        <v>552829.13</v>
      </c>
      <c r="F374" s="637"/>
      <c r="G374" s="434">
        <f t="shared" si="10"/>
        <v>0</v>
      </c>
      <c r="H374" s="639"/>
      <c r="I374" s="639">
        <f>8988199.55-7961094.35</f>
        <v>1027105.2000000011</v>
      </c>
    </row>
    <row r="375" spans="1:9" ht="15.75">
      <c r="A375" s="410"/>
      <c r="B375" s="411"/>
      <c r="C375" s="411" t="s">
        <v>67</v>
      </c>
      <c r="D375" s="490"/>
      <c r="E375" s="436">
        <f>SUM(E357:E374)</f>
        <v>6766688.97</v>
      </c>
      <c r="F375" s="636">
        <f>SUM(F357:F373)</f>
        <v>3213412.47</v>
      </c>
      <c r="G375" s="436">
        <f>SUM(G357:G374)</f>
        <v>5263864.3100000005</v>
      </c>
      <c r="H375" s="436">
        <f>SUM(H357:H374)</f>
        <v>8477276.78</v>
      </c>
      <c r="I375" s="636">
        <f>SUM(I357:I374)</f>
        <v>8317029.762500001</v>
      </c>
    </row>
    <row r="376" spans="1:9" ht="15.75">
      <c r="A376" s="410"/>
      <c r="B376" s="411"/>
      <c r="C376" s="411"/>
      <c r="D376" s="488"/>
      <c r="E376" s="413"/>
      <c r="F376" s="739"/>
      <c r="G376" s="434"/>
      <c r="H376" s="434"/>
      <c r="I376" s="637"/>
    </row>
    <row r="377" spans="1:9" ht="15.75">
      <c r="A377" s="410"/>
      <c r="B377" s="507">
        <v>1.2</v>
      </c>
      <c r="C377" s="411" t="s">
        <v>191</v>
      </c>
      <c r="D377" s="488"/>
      <c r="E377" s="413"/>
      <c r="F377" s="637"/>
      <c r="G377" s="434"/>
      <c r="H377" s="434"/>
      <c r="I377" s="637"/>
    </row>
    <row r="378" spans="1:9" ht="15.75">
      <c r="A378" s="410"/>
      <c r="B378" s="411"/>
      <c r="C378" s="411" t="s">
        <v>199</v>
      </c>
      <c r="D378" s="488"/>
      <c r="E378" s="413"/>
      <c r="F378" s="637"/>
      <c r="G378" s="434"/>
      <c r="H378" s="434"/>
      <c r="I378" s="637"/>
    </row>
    <row r="379" spans="1:9" ht="15.75">
      <c r="A379" s="410"/>
      <c r="B379" s="411"/>
      <c r="C379" s="411"/>
      <c r="D379" s="488"/>
      <c r="E379" s="413"/>
      <c r="F379" s="637"/>
      <c r="G379" s="434"/>
      <c r="H379" s="434"/>
      <c r="I379" s="637"/>
    </row>
    <row r="380" spans="1:9" ht="15.75">
      <c r="A380" s="410"/>
      <c r="B380" s="411"/>
      <c r="C380" s="411" t="s">
        <v>69</v>
      </c>
      <c r="D380" s="488"/>
      <c r="E380" s="438">
        <v>275479.98</v>
      </c>
      <c r="F380" s="802">
        <v>17976</v>
      </c>
      <c r="G380" s="434">
        <f aca="true" t="shared" si="11" ref="G380:G386">H380-F380</f>
        <v>282024</v>
      </c>
      <c r="H380" s="637">
        <v>300000</v>
      </c>
      <c r="I380" s="637">
        <v>100000</v>
      </c>
    </row>
    <row r="381" spans="1:9" ht="15.75">
      <c r="A381" s="410"/>
      <c r="B381" s="411"/>
      <c r="C381" s="411" t="s">
        <v>176</v>
      </c>
      <c r="D381" s="488"/>
      <c r="E381" s="438">
        <v>119668.76</v>
      </c>
      <c r="F381" s="802">
        <v>1600</v>
      </c>
      <c r="G381" s="434">
        <f t="shared" si="11"/>
        <v>298400</v>
      </c>
      <c r="H381" s="637">
        <v>300000</v>
      </c>
      <c r="I381" s="637">
        <v>100000</v>
      </c>
    </row>
    <row r="382" spans="1:9" ht="15.75">
      <c r="A382" s="410"/>
      <c r="B382" s="411"/>
      <c r="C382" s="411" t="s">
        <v>70</v>
      </c>
      <c r="D382" s="490"/>
      <c r="E382" s="434">
        <v>233685.08</v>
      </c>
      <c r="F382" s="637">
        <v>91800.5</v>
      </c>
      <c r="G382" s="434">
        <f t="shared" si="11"/>
        <v>258199.5</v>
      </c>
      <c r="H382" s="637">
        <v>350000</v>
      </c>
      <c r="I382" s="637">
        <v>350000</v>
      </c>
    </row>
    <row r="383" spans="1:9" ht="15.75">
      <c r="A383" s="410"/>
      <c r="B383" s="411"/>
      <c r="C383" s="411" t="s">
        <v>267</v>
      </c>
      <c r="D383" s="490"/>
      <c r="E383" s="434"/>
      <c r="F383" s="637">
        <v>0</v>
      </c>
      <c r="G383" s="434">
        <f>H383-F383</f>
        <v>100000</v>
      </c>
      <c r="H383" s="637">
        <v>100000</v>
      </c>
      <c r="I383" s="637">
        <v>100000</v>
      </c>
    </row>
    <row r="384" spans="1:9" ht="15.75">
      <c r="A384" s="410"/>
      <c r="B384" s="411"/>
      <c r="C384" s="411" t="s">
        <v>97</v>
      </c>
      <c r="D384" s="490"/>
      <c r="E384" s="434">
        <v>24000</v>
      </c>
      <c r="F384" s="637">
        <v>12000</v>
      </c>
      <c r="G384" s="434">
        <f>H384-F384</f>
        <v>12000</v>
      </c>
      <c r="H384" s="637">
        <v>24000</v>
      </c>
      <c r="I384" s="637">
        <v>24000</v>
      </c>
    </row>
    <row r="385" spans="1:9" ht="15.75">
      <c r="A385" s="410"/>
      <c r="B385" s="411"/>
      <c r="C385" s="411" t="s">
        <v>265</v>
      </c>
      <c r="D385" s="490"/>
      <c r="E385" s="434">
        <v>37160</v>
      </c>
      <c r="F385" s="637">
        <v>32700</v>
      </c>
      <c r="G385" s="434">
        <f t="shared" si="11"/>
        <v>67300</v>
      </c>
      <c r="H385" s="637">
        <v>100000</v>
      </c>
      <c r="I385" s="637">
        <v>100000</v>
      </c>
    </row>
    <row r="386" spans="1:9" ht="15.75">
      <c r="A386" s="410"/>
      <c r="B386" s="411"/>
      <c r="C386" s="411" t="s">
        <v>410</v>
      </c>
      <c r="D386" s="490"/>
      <c r="E386" s="434"/>
      <c r="F386" s="637">
        <v>50000</v>
      </c>
      <c r="G386" s="434">
        <f t="shared" si="11"/>
        <v>100000</v>
      </c>
      <c r="H386" s="637">
        <v>150000</v>
      </c>
      <c r="I386" s="637">
        <v>150000</v>
      </c>
    </row>
    <row r="387" spans="1:9" ht="15.75">
      <c r="A387" s="410"/>
      <c r="B387" s="411"/>
      <c r="C387" s="411" t="s">
        <v>192</v>
      </c>
      <c r="D387" s="488"/>
      <c r="E387" s="1121">
        <f>SUM(E380:E385)</f>
        <v>689993.82</v>
      </c>
      <c r="F387" s="820"/>
      <c r="G387" s="1123">
        <f>SUM(G380:G386)</f>
        <v>1117923.5</v>
      </c>
      <c r="H387" s="766"/>
      <c r="I387" s="1125">
        <f>SUM(I380:I386)</f>
        <v>924000</v>
      </c>
    </row>
    <row r="388" spans="1:9" ht="15.75">
      <c r="A388" s="410"/>
      <c r="B388" s="411"/>
      <c r="C388" s="411" t="s">
        <v>193</v>
      </c>
      <c r="D388" s="500"/>
      <c r="E388" s="1122"/>
      <c r="F388" s="774">
        <f>SUM(F380:F387)</f>
        <v>206076.5</v>
      </c>
      <c r="G388" s="1124"/>
      <c r="H388" s="767">
        <f>SUM(H380:H387)</f>
        <v>1324000</v>
      </c>
      <c r="I388" s="1126"/>
    </row>
    <row r="389" spans="1:9" ht="15.75">
      <c r="A389" s="410"/>
      <c r="B389" s="411"/>
      <c r="C389" s="411"/>
      <c r="D389" s="488"/>
      <c r="E389" s="434"/>
      <c r="F389" s="639"/>
      <c r="G389" s="440"/>
      <c r="H389" s="440"/>
      <c r="I389" s="639"/>
    </row>
    <row r="390" spans="1:9" ht="15.75">
      <c r="A390" s="441">
        <v>2</v>
      </c>
      <c r="B390" s="411" t="s">
        <v>89</v>
      </c>
      <c r="C390" s="411"/>
      <c r="D390" s="488"/>
      <c r="E390" s="434"/>
      <c r="F390" s="639"/>
      <c r="G390" s="440"/>
      <c r="H390" s="440"/>
      <c r="I390" s="821"/>
    </row>
    <row r="391" spans="1:9" ht="15.75">
      <c r="A391" s="441"/>
      <c r="B391" s="411"/>
      <c r="C391" s="411" t="s">
        <v>90</v>
      </c>
      <c r="D391" s="488"/>
      <c r="E391" s="434">
        <v>8000</v>
      </c>
      <c r="F391" s="639"/>
      <c r="G391" s="440">
        <f>H391-F391</f>
        <v>100000</v>
      </c>
      <c r="H391" s="639">
        <v>100000</v>
      </c>
      <c r="I391" s="639"/>
    </row>
    <row r="392" spans="1:9" ht="15.75">
      <c r="A392" s="441"/>
      <c r="B392" s="411"/>
      <c r="C392" s="411" t="s">
        <v>195</v>
      </c>
      <c r="D392" s="488"/>
      <c r="E392" s="434">
        <v>9500</v>
      </c>
      <c r="F392" s="639"/>
      <c r="G392" s="440">
        <f>H392-F392</f>
        <v>0</v>
      </c>
      <c r="H392" s="639"/>
      <c r="I392" s="639"/>
    </row>
    <row r="393" spans="1:9" ht="15.75">
      <c r="A393" s="441"/>
      <c r="B393" s="411"/>
      <c r="C393" s="411" t="s">
        <v>92</v>
      </c>
      <c r="D393" s="488"/>
      <c r="E393" s="434"/>
      <c r="F393" s="639"/>
      <c r="G393" s="440">
        <f>H393-F393</f>
        <v>100000</v>
      </c>
      <c r="H393" s="639">
        <v>100000</v>
      </c>
      <c r="I393" s="639"/>
    </row>
    <row r="394" spans="1:9" ht="15.75">
      <c r="A394" s="410"/>
      <c r="B394" s="411"/>
      <c r="C394" s="411" t="s">
        <v>94</v>
      </c>
      <c r="D394" s="500"/>
      <c r="E394" s="764">
        <f>SUM(E391:E393)</f>
        <v>17500</v>
      </c>
      <c r="F394" s="820">
        <f>SUM(F391:F393)</f>
        <v>0</v>
      </c>
      <c r="G394" s="766">
        <f>SUM(G391:G393)</f>
        <v>200000</v>
      </c>
      <c r="H394" s="766">
        <f>SUM(H391:H393)</f>
        <v>200000</v>
      </c>
      <c r="I394" s="820">
        <f>SUM(I391:I393)</f>
        <v>0</v>
      </c>
    </row>
    <row r="395" spans="1:9" ht="15.75">
      <c r="A395" s="531" t="s">
        <v>208</v>
      </c>
      <c r="B395" s="532"/>
      <c r="C395" s="532"/>
      <c r="D395" s="445"/>
      <c r="E395" s="446">
        <f>+E394+E387+E375</f>
        <v>7474182.79</v>
      </c>
      <c r="F395" s="775">
        <f>F394+F388+F375</f>
        <v>3419488.97</v>
      </c>
      <c r="G395" s="442">
        <f>G394+G387+G375</f>
        <v>6581787.8100000005</v>
      </c>
      <c r="H395" s="442">
        <f>H375+H388+H394</f>
        <v>10001276.78</v>
      </c>
      <c r="I395" s="775">
        <f>I375+I387+I394</f>
        <v>9241029.762500001</v>
      </c>
    </row>
    <row r="396" spans="1:9" ht="12.75">
      <c r="A396" s="448"/>
      <c r="B396" s="449"/>
      <c r="C396" s="450"/>
      <c r="D396" s="501"/>
      <c r="E396" s="452"/>
      <c r="F396" s="805"/>
      <c r="G396" s="449"/>
      <c r="H396" s="453"/>
      <c r="I396" s="860"/>
    </row>
    <row r="397" spans="1:9" ht="12.75">
      <c r="A397" s="454"/>
      <c r="B397" s="455"/>
      <c r="C397" s="456"/>
      <c r="D397" s="451"/>
      <c r="E397" s="457"/>
      <c r="F397" s="806"/>
      <c r="G397" s="455"/>
      <c r="H397" s="458"/>
      <c r="I397" s="861"/>
    </row>
    <row r="398" spans="1:9" ht="12.75">
      <c r="A398" s="454"/>
      <c r="B398" s="455"/>
      <c r="C398" s="456"/>
      <c r="D398" s="451"/>
      <c r="E398" s="457"/>
      <c r="F398" s="806"/>
      <c r="G398" s="455"/>
      <c r="H398" s="458"/>
      <c r="I398" s="861"/>
    </row>
    <row r="399" spans="1:9" ht="12.75">
      <c r="A399" s="454"/>
      <c r="B399" s="455"/>
      <c r="C399" s="456"/>
      <c r="D399" s="451"/>
      <c r="E399" s="457"/>
      <c r="F399" s="806"/>
      <c r="G399" s="455"/>
      <c r="H399" s="458"/>
      <c r="I399" s="861"/>
    </row>
    <row r="400" spans="1:9" ht="12.75">
      <c r="A400" s="454"/>
      <c r="B400" s="455"/>
      <c r="C400" s="456"/>
      <c r="D400" s="451"/>
      <c r="E400" s="457"/>
      <c r="F400" s="806"/>
      <c r="G400" s="455"/>
      <c r="H400" s="458"/>
      <c r="I400" s="861"/>
    </row>
    <row r="401" spans="1:9" ht="12.75">
      <c r="A401" s="454"/>
      <c r="B401" s="455"/>
      <c r="C401" s="456"/>
      <c r="D401" s="451"/>
      <c r="E401" s="457"/>
      <c r="F401" s="806"/>
      <c r="G401" s="455"/>
      <c r="H401" s="458"/>
      <c r="I401" s="861"/>
    </row>
    <row r="402" spans="1:9" ht="12.75">
      <c r="A402" s="454"/>
      <c r="B402" s="455"/>
      <c r="C402" s="456"/>
      <c r="D402" s="451"/>
      <c r="E402" s="457"/>
      <c r="F402" s="806"/>
      <c r="G402" s="459"/>
      <c r="H402" s="458"/>
      <c r="I402" s="861"/>
    </row>
    <row r="403" spans="1:9" ht="18">
      <c r="A403" s="460" t="s">
        <v>196</v>
      </c>
      <c r="B403" s="461"/>
      <c r="C403" s="456"/>
      <c r="D403" s="463"/>
      <c r="E403" s="464" t="s">
        <v>197</v>
      </c>
      <c r="F403" s="16"/>
      <c r="G403" s="465"/>
      <c r="H403" s="465" t="s">
        <v>198</v>
      </c>
      <c r="I403" s="862"/>
    </row>
    <row r="404" spans="1:9" ht="18">
      <c r="A404" s="460"/>
      <c r="B404" s="465"/>
      <c r="C404" s="465"/>
      <c r="D404" s="463"/>
      <c r="E404" s="467"/>
      <c r="F404" s="16"/>
      <c r="G404" s="465"/>
      <c r="H404" s="465"/>
      <c r="I404" s="862"/>
    </row>
    <row r="405" spans="1:9" ht="18">
      <c r="A405" s="460"/>
      <c r="B405" s="465"/>
      <c r="C405" s="465"/>
      <c r="D405" s="463"/>
      <c r="E405" s="511"/>
      <c r="F405" s="16"/>
      <c r="G405" s="465"/>
      <c r="H405" s="465"/>
      <c r="I405" s="249"/>
    </row>
    <row r="406" spans="1:9" ht="18">
      <c r="A406" s="460"/>
      <c r="B406" s="465"/>
      <c r="C406" s="465"/>
      <c r="D406" s="463"/>
      <c r="E406" s="467"/>
      <c r="F406" s="16"/>
      <c r="G406" s="465"/>
      <c r="H406" s="465"/>
      <c r="I406" s="249"/>
    </row>
    <row r="407" spans="1:9" ht="18">
      <c r="A407" s="460" t="s">
        <v>457</v>
      </c>
      <c r="B407" s="465"/>
      <c r="C407" s="465"/>
      <c r="D407" s="1103" t="str">
        <f>E185</f>
        <v>JANE B. LARIOSA</v>
      </c>
      <c r="E407" s="1091"/>
      <c r="F407" s="1091"/>
      <c r="G407" s="1091" t="str">
        <f>G116</f>
        <v>WILLIAM E. CALVEZ, CE</v>
      </c>
      <c r="H407" s="1091"/>
      <c r="I407" s="1092"/>
    </row>
    <row r="408" spans="1:9" ht="18">
      <c r="A408" s="470" t="s">
        <v>316</v>
      </c>
      <c r="B408" s="433"/>
      <c r="C408" s="433"/>
      <c r="D408" s="1103" t="str">
        <f>E186</f>
        <v>AO II/OIC MBO</v>
      </c>
      <c r="E408" s="1091"/>
      <c r="F408" s="1091"/>
      <c r="G408" s="1104" t="s">
        <v>209</v>
      </c>
      <c r="H408" s="1104"/>
      <c r="I408" s="1105"/>
    </row>
    <row r="409" spans="1:9" ht="18">
      <c r="A409" s="1138"/>
      <c r="B409" s="1139"/>
      <c r="C409" s="1139"/>
      <c r="D409" s="474"/>
      <c r="E409" s="475"/>
      <c r="F409" s="810"/>
      <c r="G409" s="473"/>
      <c r="H409" s="473"/>
      <c r="I409" s="863"/>
    </row>
    <row r="410" ht="12.75">
      <c r="B410" s="476"/>
    </row>
    <row r="411" ht="12.75">
      <c r="B411" s="476"/>
    </row>
    <row r="412" ht="12.75">
      <c r="B412" s="476"/>
    </row>
    <row r="413" ht="12.75">
      <c r="B413" s="476"/>
    </row>
    <row r="414" ht="12.75">
      <c r="B414" s="476"/>
    </row>
    <row r="415" ht="12.75">
      <c r="B415" s="476"/>
    </row>
    <row r="416" ht="12.75">
      <c r="B416" s="476"/>
    </row>
    <row r="417" ht="12.75">
      <c r="B417" s="476"/>
    </row>
    <row r="418" ht="12.75">
      <c r="B418" s="476"/>
    </row>
    <row r="419" ht="12.75">
      <c r="B419" s="476"/>
    </row>
    <row r="420" ht="12.75">
      <c r="B420" s="476"/>
    </row>
    <row r="421" ht="12.75">
      <c r="B421" s="476"/>
    </row>
    <row r="422" ht="12.75">
      <c r="B422" s="476"/>
    </row>
    <row r="423" ht="12.75">
      <c r="B423" s="476"/>
    </row>
    <row r="424" ht="12.75">
      <c r="B424" s="476"/>
    </row>
    <row r="425" spans="1:9" ht="15.75">
      <c r="A425" s="480" t="str">
        <f>A3</f>
        <v>LBP Form No. 2</v>
      </c>
      <c r="B425" s="407"/>
      <c r="C425" s="407"/>
      <c r="D425" s="408"/>
      <c r="E425" s="409"/>
      <c r="F425" s="797"/>
      <c r="G425" s="407"/>
      <c r="H425" s="407"/>
      <c r="I425" s="854"/>
    </row>
    <row r="426" spans="1:9" ht="15.75">
      <c r="A426" s="410"/>
      <c r="B426" s="411"/>
      <c r="C426" s="411"/>
      <c r="D426" s="412"/>
      <c r="E426" s="413"/>
      <c r="F426" s="11"/>
      <c r="G426" s="411"/>
      <c r="H426" s="411"/>
      <c r="I426" s="855"/>
    </row>
    <row r="427" spans="1:9" ht="15.75">
      <c r="A427" s="1106" t="str">
        <f>A5</f>
        <v>PROGRAMMED APPROPRIATION AND OBLIGATION BY OBJECT OF EXPENDITURE</v>
      </c>
      <c r="B427" s="1107"/>
      <c r="C427" s="1107"/>
      <c r="D427" s="1107"/>
      <c r="E427" s="1107"/>
      <c r="F427" s="1107"/>
      <c r="G427" s="1107"/>
      <c r="H427" s="1107"/>
      <c r="I427" s="1108"/>
    </row>
    <row r="428" spans="1:9" ht="15.75">
      <c r="A428" s="1109" t="str">
        <f>A6</f>
        <v>Municipality of Trento</v>
      </c>
      <c r="B428" s="1110"/>
      <c r="C428" s="1110"/>
      <c r="D428" s="1110"/>
      <c r="E428" s="1110"/>
      <c r="F428" s="1110"/>
      <c r="G428" s="1110"/>
      <c r="H428" s="1110"/>
      <c r="I428" s="1111"/>
    </row>
    <row r="429" spans="1:9" ht="15.75">
      <c r="A429" s="414" t="s">
        <v>469</v>
      </c>
      <c r="B429" s="411"/>
      <c r="C429" s="411"/>
      <c r="D429" s="412"/>
      <c r="E429" s="413"/>
      <c r="F429" s="11"/>
      <c r="G429" s="411"/>
      <c r="H429" s="411"/>
      <c r="I429" s="855"/>
    </row>
    <row r="430" spans="1:9" ht="12.75">
      <c r="A430" s="425"/>
      <c r="B430" s="10"/>
      <c r="C430" s="10"/>
      <c r="D430" s="481"/>
      <c r="E430" s="482"/>
      <c r="F430" s="812"/>
      <c r="G430" s="10"/>
      <c r="H430" s="483"/>
      <c r="I430" s="865"/>
    </row>
    <row r="431" spans="1:11" s="6" customFormat="1" ht="15.75">
      <c r="A431" s="1112" t="s">
        <v>181</v>
      </c>
      <c r="B431" s="1113"/>
      <c r="C431" s="1114"/>
      <c r="D431" s="530"/>
      <c r="E431" s="416" t="s">
        <v>7</v>
      </c>
      <c r="F431" s="1115" t="str">
        <f>F9</f>
        <v>Current Year 2020 (Estimate)</v>
      </c>
      <c r="G431" s="1116"/>
      <c r="H431" s="1117"/>
      <c r="I431" s="856" t="s">
        <v>10</v>
      </c>
      <c r="J431" s="778"/>
      <c r="K431" s="778"/>
    </row>
    <row r="432" spans="1:11" s="6" customFormat="1" ht="15.75">
      <c r="A432" s="1109"/>
      <c r="B432" s="1110"/>
      <c r="C432" s="1111"/>
      <c r="D432" s="417" t="s">
        <v>5</v>
      </c>
      <c r="E432" s="486" t="str">
        <f>E10</f>
        <v>2019</v>
      </c>
      <c r="F432" s="813" t="s">
        <v>8</v>
      </c>
      <c r="G432" s="485" t="s">
        <v>9</v>
      </c>
      <c r="H432" s="1118" t="s">
        <v>1</v>
      </c>
      <c r="I432" s="813">
        <f>I10</f>
        <v>2021</v>
      </c>
      <c r="J432" s="778"/>
      <c r="K432" s="778"/>
    </row>
    <row r="433" spans="1:11" s="6" customFormat="1" ht="15.75">
      <c r="A433" s="1109"/>
      <c r="B433" s="1110"/>
      <c r="C433" s="1111"/>
      <c r="D433" s="417" t="s">
        <v>12</v>
      </c>
      <c r="E433" s="486" t="s">
        <v>14</v>
      </c>
      <c r="F433" s="813" t="s">
        <v>14</v>
      </c>
      <c r="G433" s="485" t="s">
        <v>15</v>
      </c>
      <c r="H433" s="1119"/>
      <c r="I433" s="813" t="s">
        <v>182</v>
      </c>
      <c r="J433" s="778"/>
      <c r="K433" s="778"/>
    </row>
    <row r="434" spans="1:11" s="6" customFormat="1" ht="12.75">
      <c r="A434" s="1095" t="s">
        <v>183</v>
      </c>
      <c r="B434" s="1096"/>
      <c r="C434" s="1097"/>
      <c r="D434" s="422" t="s">
        <v>184</v>
      </c>
      <c r="E434" s="423" t="s">
        <v>185</v>
      </c>
      <c r="F434" s="814" t="s">
        <v>186</v>
      </c>
      <c r="G434" s="424" t="s">
        <v>187</v>
      </c>
      <c r="H434" s="424" t="s">
        <v>188</v>
      </c>
      <c r="I434" s="832" t="s">
        <v>189</v>
      </c>
      <c r="J434" s="778"/>
      <c r="K434" s="778"/>
    </row>
    <row r="435" spans="1:9" ht="12.75">
      <c r="A435" s="425"/>
      <c r="B435" s="10"/>
      <c r="C435" s="10"/>
      <c r="D435" s="506"/>
      <c r="E435" s="427"/>
      <c r="F435" s="801"/>
      <c r="G435" s="425"/>
      <c r="H435" s="428"/>
      <c r="I435" s="858"/>
    </row>
    <row r="436" spans="1:9" ht="15.75">
      <c r="A436" s="441">
        <v>1</v>
      </c>
      <c r="B436" s="430" t="s">
        <v>190</v>
      </c>
      <c r="C436" s="411"/>
      <c r="D436" s="488"/>
      <c r="E436" s="427"/>
      <c r="F436" s="801"/>
      <c r="G436" s="425"/>
      <c r="H436" s="428"/>
      <c r="I436" s="871"/>
    </row>
    <row r="437" spans="1:9" ht="15.75">
      <c r="A437" s="410"/>
      <c r="B437" s="507">
        <v>1.1</v>
      </c>
      <c r="C437" s="411" t="s">
        <v>159</v>
      </c>
      <c r="D437" s="488"/>
      <c r="E437" s="427"/>
      <c r="F437" s="801"/>
      <c r="G437" s="425"/>
      <c r="H437" s="428"/>
      <c r="I437" s="871"/>
    </row>
    <row r="438" spans="1:9" ht="15.75">
      <c r="A438" s="410"/>
      <c r="B438" s="411"/>
      <c r="C438" s="411" t="s">
        <v>52</v>
      </c>
      <c r="D438" s="488"/>
      <c r="E438" s="434">
        <v>1608433.4</v>
      </c>
      <c r="F438" s="637">
        <v>843881.75</v>
      </c>
      <c r="G438" s="434">
        <f aca="true" t="shared" si="12" ref="G438:G453">H438-F438</f>
        <v>1317054.25</v>
      </c>
      <c r="H438" s="639">
        <v>2160936</v>
      </c>
      <c r="I438" s="639">
        <v>2069040</v>
      </c>
    </row>
    <row r="439" spans="1:9" ht="15.75">
      <c r="A439" s="410"/>
      <c r="B439" s="411"/>
      <c r="C439" s="411" t="s">
        <v>53</v>
      </c>
      <c r="D439" s="488"/>
      <c r="E439" s="434">
        <v>99632.94</v>
      </c>
      <c r="F439" s="637">
        <v>59000</v>
      </c>
      <c r="G439" s="434">
        <f t="shared" si="12"/>
        <v>109000</v>
      </c>
      <c r="H439" s="639">
        <f>2000*7*12</f>
        <v>168000</v>
      </c>
      <c r="I439" s="639">
        <f>2000*7*12</f>
        <v>168000</v>
      </c>
    </row>
    <row r="440" spans="1:9" ht="15.75">
      <c r="A440" s="410"/>
      <c r="B440" s="411"/>
      <c r="C440" s="411" t="s">
        <v>54</v>
      </c>
      <c r="D440" s="488"/>
      <c r="E440" s="434">
        <v>81000</v>
      </c>
      <c r="F440" s="637">
        <v>40500</v>
      </c>
      <c r="G440" s="434">
        <f t="shared" si="12"/>
        <v>40500</v>
      </c>
      <c r="H440" s="639">
        <v>81000</v>
      </c>
      <c r="I440" s="639">
        <v>81000</v>
      </c>
    </row>
    <row r="441" spans="1:9" ht="15.75">
      <c r="A441" s="410"/>
      <c r="B441" s="411"/>
      <c r="C441" s="411" t="s">
        <v>55</v>
      </c>
      <c r="D441" s="488"/>
      <c r="E441" s="434">
        <v>81000</v>
      </c>
      <c r="F441" s="637">
        <v>40500</v>
      </c>
      <c r="G441" s="434">
        <f t="shared" si="12"/>
        <v>40500</v>
      </c>
      <c r="H441" s="639">
        <v>81000</v>
      </c>
      <c r="I441" s="639">
        <v>81000</v>
      </c>
    </row>
    <row r="442" spans="1:9" ht="15.75">
      <c r="A442" s="410"/>
      <c r="B442" s="411"/>
      <c r="C442" s="411" t="s">
        <v>484</v>
      </c>
      <c r="D442" s="488"/>
      <c r="E442" s="434">
        <v>24000</v>
      </c>
      <c r="F442" s="637">
        <v>30000</v>
      </c>
      <c r="G442" s="434">
        <f t="shared" si="12"/>
        <v>12000</v>
      </c>
      <c r="H442" s="639">
        <f>6000*7</f>
        <v>42000</v>
      </c>
      <c r="I442" s="639">
        <f>6000*7</f>
        <v>42000</v>
      </c>
    </row>
    <row r="443" spans="1:9" ht="15.75">
      <c r="A443" s="410"/>
      <c r="B443" s="411"/>
      <c r="C443" s="411" t="s">
        <v>0</v>
      </c>
      <c r="D443" s="488"/>
      <c r="E443" s="434">
        <v>133042</v>
      </c>
      <c r="F443" s="637">
        <v>0</v>
      </c>
      <c r="G443" s="434">
        <f t="shared" si="12"/>
        <v>180078</v>
      </c>
      <c r="H443" s="639">
        <v>180078</v>
      </c>
      <c r="I443" s="639">
        <f>I446</f>
        <v>172420</v>
      </c>
    </row>
    <row r="444" spans="1:9" ht="15.75">
      <c r="A444" s="410"/>
      <c r="B444" s="411"/>
      <c r="C444" s="411" t="s">
        <v>59</v>
      </c>
      <c r="D444" s="488"/>
      <c r="E444" s="434">
        <v>20000</v>
      </c>
      <c r="F444" s="637">
        <v>0</v>
      </c>
      <c r="G444" s="434">
        <f t="shared" si="12"/>
        <v>35000</v>
      </c>
      <c r="H444" s="639">
        <f>5000*7</f>
        <v>35000</v>
      </c>
      <c r="I444" s="639">
        <f>5000*7</f>
        <v>35000</v>
      </c>
    </row>
    <row r="445" spans="1:9" ht="15.75">
      <c r="A445" s="410"/>
      <c r="B445" s="411"/>
      <c r="C445" s="411" t="str">
        <f>C23</f>
        <v>Performance Base Bonus</v>
      </c>
      <c r="D445" s="488"/>
      <c r="E445" s="434">
        <v>132145.65</v>
      </c>
      <c r="F445" s="637">
        <v>86477.3</v>
      </c>
      <c r="G445" s="434">
        <f t="shared" si="12"/>
        <v>86307.87000000001</v>
      </c>
      <c r="H445" s="639">
        <v>172785.17</v>
      </c>
      <c r="I445" s="639">
        <f>I438/12</f>
        <v>172420</v>
      </c>
    </row>
    <row r="446" spans="1:9" ht="15.75">
      <c r="A446" s="410"/>
      <c r="B446" s="411"/>
      <c r="C446" s="411" t="str">
        <f>C24</f>
        <v>Mid Year</v>
      </c>
      <c r="D446" s="488"/>
      <c r="E446" s="434">
        <v>117960</v>
      </c>
      <c r="F446" s="637">
        <v>139910</v>
      </c>
      <c r="G446" s="434">
        <f t="shared" si="12"/>
        <v>40168</v>
      </c>
      <c r="H446" s="639">
        <v>180078</v>
      </c>
      <c r="I446" s="639">
        <f>I445</f>
        <v>172420</v>
      </c>
    </row>
    <row r="447" spans="1:9" ht="15.75">
      <c r="A447" s="410"/>
      <c r="B447" s="411"/>
      <c r="C447" s="411" t="s">
        <v>487</v>
      </c>
      <c r="D447" s="490"/>
      <c r="E447" s="434">
        <v>191673.17</v>
      </c>
      <c r="F447" s="637">
        <v>101246.54</v>
      </c>
      <c r="G447" s="434">
        <f t="shared" si="12"/>
        <v>158065.78999999998</v>
      </c>
      <c r="H447" s="639">
        <v>259312.33</v>
      </c>
      <c r="I447" s="639">
        <f>I438*12%</f>
        <v>248284.8</v>
      </c>
    </row>
    <row r="448" spans="1:9" ht="15.75">
      <c r="A448" s="410"/>
      <c r="B448" s="411"/>
      <c r="C448" s="411" t="s">
        <v>61</v>
      </c>
      <c r="D448" s="490"/>
      <c r="E448" s="434">
        <v>13876.56</v>
      </c>
      <c r="F448" s="637">
        <v>3595.9</v>
      </c>
      <c r="G448" s="434">
        <f t="shared" si="12"/>
        <v>39622.82</v>
      </c>
      <c r="H448" s="639">
        <f>H438*2%</f>
        <v>43218.72</v>
      </c>
      <c r="I448" s="639">
        <f>100*7*12</f>
        <v>8400</v>
      </c>
    </row>
    <row r="449" spans="1:9" ht="15.75">
      <c r="A449" s="410"/>
      <c r="B449" s="411"/>
      <c r="C449" s="411" t="s">
        <v>62</v>
      </c>
      <c r="D449" s="490"/>
      <c r="E449" s="434">
        <v>15458.02</v>
      </c>
      <c r="F449" s="637">
        <v>10414.56</v>
      </c>
      <c r="G449" s="434">
        <f t="shared" si="12"/>
        <v>21999.480000000003</v>
      </c>
      <c r="H449" s="639">
        <v>32414.04</v>
      </c>
      <c r="I449" s="639">
        <f>I438*1.75%</f>
        <v>36208.200000000004</v>
      </c>
    </row>
    <row r="450" spans="1:9" ht="15.75">
      <c r="A450" s="410"/>
      <c r="B450" s="411"/>
      <c r="C450" s="411" t="s">
        <v>262</v>
      </c>
      <c r="D450" s="490"/>
      <c r="E450" s="434">
        <v>5098.44</v>
      </c>
      <c r="F450" s="637">
        <v>2997.27</v>
      </c>
      <c r="G450" s="434">
        <f t="shared" si="12"/>
        <v>5393.369999999999</v>
      </c>
      <c r="H450" s="639">
        <v>8390.64</v>
      </c>
      <c r="I450" s="639">
        <f>100*7*12</f>
        <v>8400</v>
      </c>
    </row>
    <row r="451" spans="1:9" ht="15.75">
      <c r="A451" s="410"/>
      <c r="B451" s="411"/>
      <c r="C451" s="411" t="s">
        <v>66</v>
      </c>
      <c r="D451" s="490"/>
      <c r="E451" s="434">
        <v>100000</v>
      </c>
      <c r="F451" s="637">
        <v>49210.17</v>
      </c>
      <c r="G451" s="434">
        <f t="shared" si="12"/>
        <v>267991.38</v>
      </c>
      <c r="H451" s="639">
        <v>317201.55</v>
      </c>
      <c r="I451" s="639">
        <f>20000*7</f>
        <v>140000</v>
      </c>
    </row>
    <row r="452" spans="1:9" ht="15.75">
      <c r="A452" s="410"/>
      <c r="B452" s="411"/>
      <c r="C452" s="411" t="str">
        <f>C31</f>
        <v>Productivity Enhancement Incentive</v>
      </c>
      <c r="D452" s="488"/>
      <c r="E452" s="434">
        <v>15000</v>
      </c>
      <c r="F452" s="637">
        <v>0</v>
      </c>
      <c r="G452" s="434">
        <f t="shared" si="12"/>
        <v>35000</v>
      </c>
      <c r="H452" s="639">
        <f>5000*7</f>
        <v>35000</v>
      </c>
      <c r="I452" s="639">
        <f>5000*7</f>
        <v>35000</v>
      </c>
    </row>
    <row r="453" spans="1:9" ht="15.75">
      <c r="A453" s="410"/>
      <c r="B453" s="411"/>
      <c r="C453" s="411" t="s">
        <v>294</v>
      </c>
      <c r="D453" s="490"/>
      <c r="E453" s="434">
        <v>58294.58</v>
      </c>
      <c r="F453" s="637"/>
      <c r="G453" s="434">
        <f t="shared" si="12"/>
        <v>0</v>
      </c>
      <c r="H453" s="639"/>
      <c r="I453" s="639">
        <f>4066845.15-3597098.7</f>
        <v>469746.4499999997</v>
      </c>
    </row>
    <row r="454" spans="1:9" ht="15.75">
      <c r="A454" s="410"/>
      <c r="B454" s="411"/>
      <c r="C454" s="411" t="s">
        <v>67</v>
      </c>
      <c r="D454" s="490"/>
      <c r="E454" s="436">
        <f>SUM(E438:E453)</f>
        <v>2696614.76</v>
      </c>
      <c r="F454" s="636">
        <f>SUM(F438:F453)</f>
        <v>1407733.49</v>
      </c>
      <c r="G454" s="436">
        <f>SUM(G438:G453)</f>
        <v>2388680.9600000004</v>
      </c>
      <c r="H454" s="436">
        <f>SUM(H438:H453)</f>
        <v>3796414.45</v>
      </c>
      <c r="I454" s="636">
        <f>SUM(I438:I453)</f>
        <v>3939339.4499999997</v>
      </c>
    </row>
    <row r="455" spans="1:9" ht="15.75">
      <c r="A455" s="410"/>
      <c r="B455" s="411"/>
      <c r="C455" s="411"/>
      <c r="D455" s="488"/>
      <c r="E455" s="413"/>
      <c r="F455" s="739"/>
      <c r="G455" s="434"/>
      <c r="H455" s="434"/>
      <c r="I455" s="637"/>
    </row>
    <row r="456" spans="1:9" ht="15.75">
      <c r="A456" s="410"/>
      <c r="B456" s="507">
        <v>1.2</v>
      </c>
      <c r="C456" s="411" t="s">
        <v>191</v>
      </c>
      <c r="D456" s="488"/>
      <c r="E456" s="413"/>
      <c r="F456" s="637"/>
      <c r="G456" s="434"/>
      <c r="H456" s="434"/>
      <c r="I456" s="637"/>
    </row>
    <row r="457" spans="1:9" ht="15.75">
      <c r="A457" s="410"/>
      <c r="B457" s="411"/>
      <c r="C457" s="411" t="s">
        <v>199</v>
      </c>
      <c r="D457" s="488"/>
      <c r="E457" s="413"/>
      <c r="F457" s="637"/>
      <c r="G457" s="434"/>
      <c r="H457" s="434"/>
      <c r="I457" s="637"/>
    </row>
    <row r="458" spans="1:9" ht="15.75">
      <c r="A458" s="410"/>
      <c r="B458" s="411"/>
      <c r="C458" s="411"/>
      <c r="D458" s="488"/>
      <c r="E458" s="413"/>
      <c r="F458" s="637"/>
      <c r="G458" s="434"/>
      <c r="H458" s="434"/>
      <c r="I458" s="638"/>
    </row>
    <row r="459" spans="1:9" ht="15.75">
      <c r="A459" s="410"/>
      <c r="B459" s="411"/>
      <c r="C459" s="411" t="s">
        <v>69</v>
      </c>
      <c r="D459" s="488"/>
      <c r="E459" s="438">
        <v>268700.47</v>
      </c>
      <c r="F459" s="802">
        <v>28583</v>
      </c>
      <c r="G459" s="434">
        <f aca="true" t="shared" si="13" ref="G459:G465">H459-F459</f>
        <v>271417</v>
      </c>
      <c r="H459" s="637">
        <v>300000</v>
      </c>
      <c r="I459" s="637">
        <v>100000</v>
      </c>
    </row>
    <row r="460" spans="1:9" ht="15.75">
      <c r="A460" s="410"/>
      <c r="B460" s="411"/>
      <c r="C460" s="411" t="s">
        <v>176</v>
      </c>
      <c r="D460" s="488"/>
      <c r="E460" s="438">
        <v>103014</v>
      </c>
      <c r="F460" s="802">
        <v>33270</v>
      </c>
      <c r="G460" s="434">
        <f t="shared" si="13"/>
        <v>116730</v>
      </c>
      <c r="H460" s="637">
        <v>150000</v>
      </c>
      <c r="I460" s="637">
        <v>50000</v>
      </c>
    </row>
    <row r="461" spans="1:9" ht="15.75">
      <c r="A461" s="410"/>
      <c r="B461" s="411"/>
      <c r="C461" s="411" t="s">
        <v>70</v>
      </c>
      <c r="D461" s="490"/>
      <c r="E461" s="434">
        <v>51140.64</v>
      </c>
      <c r="F461" s="637">
        <v>31384</v>
      </c>
      <c r="G461" s="434">
        <f t="shared" si="13"/>
        <v>118616</v>
      </c>
      <c r="H461" s="637">
        <v>150000</v>
      </c>
      <c r="I461" s="637">
        <v>150000</v>
      </c>
    </row>
    <row r="462" spans="1:9" ht="15.75">
      <c r="A462" s="410"/>
      <c r="B462" s="411"/>
      <c r="C462" s="411" t="s">
        <v>97</v>
      </c>
      <c r="D462" s="490"/>
      <c r="E462" s="434">
        <v>24000</v>
      </c>
      <c r="F462" s="637">
        <v>12000</v>
      </c>
      <c r="G462" s="434">
        <f t="shared" si="13"/>
        <v>12000</v>
      </c>
      <c r="H462" s="637">
        <v>24000</v>
      </c>
      <c r="I462" s="637">
        <v>24000</v>
      </c>
    </row>
    <row r="463" spans="1:9" ht="15.75">
      <c r="A463" s="410"/>
      <c r="B463" s="411"/>
      <c r="C463" s="411" t="s">
        <v>265</v>
      </c>
      <c r="D463" s="490"/>
      <c r="E463" s="434">
        <v>66258.9</v>
      </c>
      <c r="F463" s="637">
        <v>0</v>
      </c>
      <c r="G463" s="434">
        <f t="shared" si="13"/>
        <v>100000</v>
      </c>
      <c r="H463" s="637">
        <v>100000</v>
      </c>
      <c r="I463" s="637">
        <v>80000</v>
      </c>
    </row>
    <row r="464" spans="1:9" ht="15.75">
      <c r="A464" s="410"/>
      <c r="B464" s="411"/>
      <c r="C464" s="411" t="s">
        <v>221</v>
      </c>
      <c r="D464" s="490"/>
      <c r="E464" s="434"/>
      <c r="F464" s="637">
        <v>0</v>
      </c>
      <c r="G464" s="434">
        <f t="shared" si="13"/>
        <v>50000</v>
      </c>
      <c r="H464" s="637">
        <v>50000</v>
      </c>
      <c r="I464" s="637">
        <v>50000</v>
      </c>
    </row>
    <row r="465" spans="1:9" ht="15.75">
      <c r="A465" s="410"/>
      <c r="B465" s="411"/>
      <c r="C465" s="411" t="s">
        <v>412</v>
      </c>
      <c r="D465" s="490"/>
      <c r="E465" s="434">
        <v>18670</v>
      </c>
      <c r="F465" s="637">
        <v>0</v>
      </c>
      <c r="G465" s="434">
        <f t="shared" si="13"/>
        <v>100000</v>
      </c>
      <c r="H465" s="637">
        <v>100000</v>
      </c>
      <c r="I465" s="637">
        <v>77000</v>
      </c>
    </row>
    <row r="466" spans="1:9" ht="15.75">
      <c r="A466" s="410"/>
      <c r="B466" s="411"/>
      <c r="C466" s="411" t="s">
        <v>192</v>
      </c>
      <c r="D466" s="488"/>
      <c r="E466" s="1132">
        <f>SUM(E459:E465)</f>
        <v>531784.01</v>
      </c>
      <c r="F466" s="820"/>
      <c r="G466" s="1134">
        <f>G459+G460+G462+G463+G461+G465+G464</f>
        <v>768763</v>
      </c>
      <c r="H466" s="766"/>
      <c r="I466" s="1136">
        <f>SUM(I459:I465)</f>
        <v>531000</v>
      </c>
    </row>
    <row r="467" spans="1:9" ht="15.75">
      <c r="A467" s="410"/>
      <c r="B467" s="411"/>
      <c r="C467" s="411" t="s">
        <v>193</v>
      </c>
      <c r="D467" s="488"/>
      <c r="E467" s="1133"/>
      <c r="F467" s="774">
        <f>SUM(F459:F466)</f>
        <v>105237</v>
      </c>
      <c r="G467" s="1135"/>
      <c r="H467" s="767">
        <f>SUM(H459:H466)</f>
        <v>874000</v>
      </c>
      <c r="I467" s="1137"/>
    </row>
    <row r="468" spans="1:9" ht="15.75">
      <c r="A468" s="410"/>
      <c r="B468" s="411"/>
      <c r="C468" s="411"/>
      <c r="D468" s="488"/>
      <c r="E468" s="434"/>
      <c r="F468" s="639"/>
      <c r="G468" s="440"/>
      <c r="H468" s="440"/>
      <c r="I468" s="824"/>
    </row>
    <row r="469" spans="1:9" ht="15.75">
      <c r="A469" s="441">
        <v>2</v>
      </c>
      <c r="B469" s="411" t="s">
        <v>89</v>
      </c>
      <c r="C469" s="411"/>
      <c r="D469" s="488"/>
      <c r="E469" s="434"/>
      <c r="F469" s="639"/>
      <c r="G469" s="440"/>
      <c r="H469" s="440"/>
      <c r="I469" s="639"/>
    </row>
    <row r="470" spans="1:9" ht="15.75">
      <c r="A470" s="441"/>
      <c r="B470" s="411"/>
      <c r="C470" s="411" t="s">
        <v>194</v>
      </c>
      <c r="D470" s="488"/>
      <c r="E470" s="434">
        <v>93337</v>
      </c>
      <c r="F470" s="639"/>
      <c r="G470" s="440">
        <f>H470-F470</f>
        <v>0</v>
      </c>
      <c r="H470" s="440"/>
      <c r="I470" s="639"/>
    </row>
    <row r="471" spans="1:9" ht="15.75">
      <c r="A471" s="410"/>
      <c r="B471" s="411"/>
      <c r="C471" s="533" t="s">
        <v>92</v>
      </c>
      <c r="D471" s="534"/>
      <c r="E471" s="535">
        <v>70000</v>
      </c>
      <c r="F471" s="668"/>
      <c r="G471" s="440">
        <f>H471-F471</f>
        <v>100000</v>
      </c>
      <c r="H471" s="640">
        <v>100000</v>
      </c>
      <c r="I471" s="640"/>
    </row>
    <row r="472" spans="1:9" ht="15.75">
      <c r="A472" s="410"/>
      <c r="B472" s="411"/>
      <c r="C472" s="411" t="s">
        <v>94</v>
      </c>
      <c r="D472" s="537"/>
      <c r="E472" s="436">
        <f>SUM(E470:E471)</f>
        <v>163337</v>
      </c>
      <c r="F472" s="773">
        <f>SUM(F470:F471)</f>
        <v>0</v>
      </c>
      <c r="G472" s="447">
        <f>SUM(G470:G471)</f>
        <v>100000</v>
      </c>
      <c r="H472" s="447">
        <f>SUM(H470:H471)</f>
        <v>100000</v>
      </c>
      <c r="I472" s="773">
        <f>SUM(I470:I471)</f>
        <v>0</v>
      </c>
    </row>
    <row r="473" spans="1:9" ht="15.75">
      <c r="A473" s="443" t="s">
        <v>614</v>
      </c>
      <c r="B473" s="444"/>
      <c r="C473" s="444"/>
      <c r="D473" s="445"/>
      <c r="E473" s="446">
        <f>+E472+E466+E454</f>
        <v>3391735.7699999996</v>
      </c>
      <c r="F473" s="775">
        <f>F472+F467+F454</f>
        <v>1512970.49</v>
      </c>
      <c r="G473" s="442">
        <f>G472+G466+G454</f>
        <v>3257443.9600000004</v>
      </c>
      <c r="H473" s="442">
        <f>H454+H467+H472</f>
        <v>4770414.45</v>
      </c>
      <c r="I473" s="775">
        <f>I454+I466+I472</f>
        <v>4470339.449999999</v>
      </c>
    </row>
    <row r="474" spans="1:11" s="7" customFormat="1" ht="7.5" customHeight="1">
      <c r="A474" s="448"/>
      <c r="B474" s="538"/>
      <c r="C474" s="539"/>
      <c r="D474" s="426"/>
      <c r="E474" s="909"/>
      <c r="F474" s="910"/>
      <c r="G474" s="911"/>
      <c r="H474" s="912"/>
      <c r="I474" s="913"/>
      <c r="J474" s="779"/>
      <c r="K474" s="779"/>
    </row>
    <row r="475" spans="1:9" ht="19.5" customHeight="1">
      <c r="A475" s="915" t="s">
        <v>562</v>
      </c>
      <c r="B475" s="455"/>
      <c r="C475" s="456"/>
      <c r="D475" s="903"/>
      <c r="E475" s="904"/>
      <c r="F475" s="905"/>
      <c r="G475" s="914"/>
      <c r="H475" s="907"/>
      <c r="I475" s="908"/>
    </row>
    <row r="476" spans="1:9" ht="15.75">
      <c r="A476" s="410" t="s">
        <v>101</v>
      </c>
      <c r="B476" s="411"/>
      <c r="C476" s="411"/>
      <c r="D476" s="488"/>
      <c r="E476" s="413">
        <v>91150</v>
      </c>
      <c r="F476" s="802">
        <v>21200</v>
      </c>
      <c r="G476" s="434">
        <f>H476-F476</f>
        <v>78800</v>
      </c>
      <c r="H476" s="637">
        <v>100000</v>
      </c>
      <c r="I476" s="637">
        <v>100000</v>
      </c>
    </row>
    <row r="477" spans="1:9" ht="15.75">
      <c r="A477" s="410" t="s">
        <v>105</v>
      </c>
      <c r="B477" s="411"/>
      <c r="C477" s="493"/>
      <c r="D477" s="488"/>
      <c r="E477" s="413"/>
      <c r="F477" s="802"/>
      <c r="G477" s="434">
        <f>H477-F477</f>
        <v>0</v>
      </c>
      <c r="H477" s="637"/>
      <c r="I477" s="637">
        <v>1100000</v>
      </c>
    </row>
    <row r="478" spans="1:9" ht="15.75">
      <c r="A478" s="410" t="s">
        <v>385</v>
      </c>
      <c r="B478" s="411"/>
      <c r="C478" s="493"/>
      <c r="D478" s="488"/>
      <c r="E478" s="413">
        <v>285600</v>
      </c>
      <c r="F478" s="802"/>
      <c r="G478" s="434">
        <f>H478-F478</f>
        <v>200000</v>
      </c>
      <c r="H478" s="637">
        <v>200000</v>
      </c>
      <c r="I478" s="637">
        <v>200000</v>
      </c>
    </row>
    <row r="479" spans="1:9" ht="15.75">
      <c r="A479" s="410" t="s">
        <v>386</v>
      </c>
      <c r="B479" s="411"/>
      <c r="C479" s="493"/>
      <c r="D479" s="488"/>
      <c r="E479" s="413">
        <v>159450</v>
      </c>
      <c r="F479" s="802">
        <v>12075</v>
      </c>
      <c r="G479" s="434">
        <f>H479-F479</f>
        <v>187925</v>
      </c>
      <c r="H479" s="637">
        <v>200000</v>
      </c>
      <c r="I479" s="637">
        <v>200000</v>
      </c>
    </row>
    <row r="480" spans="1:9" ht="15.75">
      <c r="A480" s="410" t="s">
        <v>387</v>
      </c>
      <c r="B480" s="411"/>
      <c r="C480" s="493"/>
      <c r="D480" s="488"/>
      <c r="E480" s="565">
        <v>297825</v>
      </c>
      <c r="F480" s="828"/>
      <c r="G480" s="494">
        <f>H480-F480</f>
        <v>200000</v>
      </c>
      <c r="H480" s="647">
        <v>200000</v>
      </c>
      <c r="I480" s="647">
        <v>200000</v>
      </c>
    </row>
    <row r="481" spans="1:9" ht="15.75">
      <c r="A481" s="756" t="s">
        <v>613</v>
      </c>
      <c r="B481" s="737"/>
      <c r="C481" s="737"/>
      <c r="D481" s="772"/>
      <c r="E481" s="636">
        <f>E476+E477+E478+E479+E480</f>
        <v>834025</v>
      </c>
      <c r="F481" s="636">
        <f>F476+F477+F478+F479+F480</f>
        <v>33275</v>
      </c>
      <c r="G481" s="636">
        <f>G476+G477+G478+G479+G480</f>
        <v>666725</v>
      </c>
      <c r="H481" s="636">
        <f>H476+H477+H478+H479+H480</f>
        <v>700000</v>
      </c>
      <c r="I481" s="636">
        <f>I476+I477+I478+I479+I480</f>
        <v>1800000</v>
      </c>
    </row>
    <row r="482" spans="1:9" ht="18" customHeight="1">
      <c r="A482" s="443" t="s">
        <v>210</v>
      </c>
      <c r="B482" s="740"/>
      <c r="C482" s="741"/>
      <c r="D482" s="742"/>
      <c r="E482" s="773">
        <f>E481+E473</f>
        <v>4225760.77</v>
      </c>
      <c r="F482" s="773">
        <f>F481+F473</f>
        <v>1546245.49</v>
      </c>
      <c r="G482" s="773">
        <f>G481+G473</f>
        <v>3924168.9600000004</v>
      </c>
      <c r="H482" s="773">
        <f>H481+H473</f>
        <v>5470414.45</v>
      </c>
      <c r="I482" s="775">
        <f>I481+I473</f>
        <v>6270339.449999999</v>
      </c>
    </row>
    <row r="483" spans="1:9" ht="12.75">
      <c r="A483" s="454"/>
      <c r="B483" s="455"/>
      <c r="C483" s="456"/>
      <c r="D483" s="451"/>
      <c r="E483" s="457"/>
      <c r="F483" s="806"/>
      <c r="G483" s="455"/>
      <c r="H483" s="458"/>
      <c r="I483" s="861"/>
    </row>
    <row r="484" spans="1:9" ht="12.75">
      <c r="A484" s="454"/>
      <c r="B484" s="455"/>
      <c r="C484" s="456"/>
      <c r="D484" s="451"/>
      <c r="E484" s="457"/>
      <c r="F484" s="806"/>
      <c r="G484" s="455"/>
      <c r="H484" s="458"/>
      <c r="I484" s="861"/>
    </row>
    <row r="485" spans="1:9" ht="12.75">
      <c r="A485" s="454"/>
      <c r="B485" s="455"/>
      <c r="C485" s="456"/>
      <c r="D485" s="451"/>
      <c r="E485" s="457"/>
      <c r="F485" s="806"/>
      <c r="G485" s="455"/>
      <c r="H485" s="458"/>
      <c r="I485" s="861"/>
    </row>
    <row r="486" spans="1:9" ht="12.75">
      <c r="A486" s="454"/>
      <c r="B486" s="455"/>
      <c r="C486" s="456"/>
      <c r="D486" s="451"/>
      <c r="E486" s="457"/>
      <c r="F486" s="806"/>
      <c r="G486" s="455"/>
      <c r="H486" s="458"/>
      <c r="I486" s="861"/>
    </row>
    <row r="487" spans="1:9" ht="12.75">
      <c r="A487" s="454"/>
      <c r="B487" s="455"/>
      <c r="C487" s="456"/>
      <c r="D487" s="451"/>
      <c r="E487" s="457"/>
      <c r="F487" s="806"/>
      <c r="G487" s="455"/>
      <c r="H487" s="458"/>
      <c r="I487" s="861"/>
    </row>
    <row r="488" spans="1:9" ht="12.75">
      <c r="A488" s="454"/>
      <c r="B488" s="455"/>
      <c r="C488" s="456"/>
      <c r="D488" s="451"/>
      <c r="E488" s="457"/>
      <c r="F488" s="806"/>
      <c r="G488" s="459"/>
      <c r="H488" s="458"/>
      <c r="I488" s="861"/>
    </row>
    <row r="489" spans="1:11" s="1" customFormat="1" ht="18">
      <c r="A489" s="460" t="s">
        <v>196</v>
      </c>
      <c r="B489" s="461"/>
      <c r="C489" s="465"/>
      <c r="D489" s="659"/>
      <c r="E489" s="464" t="s">
        <v>197</v>
      </c>
      <c r="F489" s="16"/>
      <c r="G489" s="465"/>
      <c r="H489" s="465" t="s">
        <v>198</v>
      </c>
      <c r="I489" s="862"/>
      <c r="J489" s="780"/>
      <c r="K489" s="780"/>
    </row>
    <row r="490" spans="1:9" ht="18">
      <c r="A490" s="460"/>
      <c r="B490" s="465"/>
      <c r="C490" s="465"/>
      <c r="D490" s="659"/>
      <c r="E490" s="467"/>
      <c r="F490" s="16"/>
      <c r="G490" s="465"/>
      <c r="H490" s="465"/>
      <c r="I490" s="862"/>
    </row>
    <row r="491" spans="1:9" ht="18">
      <c r="A491" s="460"/>
      <c r="B491" s="465"/>
      <c r="C491" s="465"/>
      <c r="D491" s="659"/>
      <c r="E491" s="525"/>
      <c r="F491" s="16"/>
      <c r="G491" s="465"/>
      <c r="H491" s="465"/>
      <c r="I491" s="249"/>
    </row>
    <row r="492" spans="1:9" ht="18">
      <c r="A492" s="460"/>
      <c r="B492" s="465"/>
      <c r="C492" s="465"/>
      <c r="D492" s="659"/>
      <c r="E492" s="467"/>
      <c r="F492" s="16"/>
      <c r="G492" s="465"/>
      <c r="H492" s="465"/>
      <c r="I492" s="249"/>
    </row>
    <row r="493" spans="1:11" s="1" customFormat="1" ht="18">
      <c r="A493" s="460" t="s">
        <v>211</v>
      </c>
      <c r="B493" s="465"/>
      <c r="C493" s="465"/>
      <c r="D493" s="466" t="s">
        <v>318</v>
      </c>
      <c r="E493" s="467" t="str">
        <f>E185</f>
        <v>JANE B. LARIOSA</v>
      </c>
      <c r="F493" s="16"/>
      <c r="G493" s="1091" t="str">
        <f>G116</f>
        <v>WILLIAM E. CALVEZ, CE</v>
      </c>
      <c r="H493" s="1091"/>
      <c r="I493" s="1092"/>
      <c r="J493" s="780"/>
      <c r="K493" s="780"/>
    </row>
    <row r="494" spans="1:9" ht="18">
      <c r="A494" s="660" t="s">
        <v>317</v>
      </c>
      <c r="B494" s="661"/>
      <c r="C494" s="661"/>
      <c r="D494" s="662"/>
      <c r="E494" s="467" t="str">
        <f>E186</f>
        <v>AO II/OIC MBO</v>
      </c>
      <c r="F494" s="16"/>
      <c r="G494" s="1104" t="s">
        <v>155</v>
      </c>
      <c r="H494" s="1104"/>
      <c r="I494" s="1105"/>
    </row>
    <row r="495" spans="1:9" ht="15.75">
      <c r="A495" s="526"/>
      <c r="B495" s="527"/>
      <c r="C495" s="527"/>
      <c r="D495" s="528"/>
      <c r="E495" s="529"/>
      <c r="F495" s="827"/>
      <c r="G495" s="527"/>
      <c r="H495" s="527"/>
      <c r="I495" s="870"/>
    </row>
    <row r="496" ht="12.75">
      <c r="B496" s="476"/>
    </row>
    <row r="497" ht="12.75">
      <c r="B497" s="476"/>
    </row>
    <row r="498" ht="12.75">
      <c r="B498" s="476"/>
    </row>
    <row r="499" ht="12.75">
      <c r="B499" s="476"/>
    </row>
    <row r="500" ht="12.75">
      <c r="B500" s="476"/>
    </row>
    <row r="501" ht="12.75">
      <c r="B501" s="476"/>
    </row>
    <row r="502" ht="12.75">
      <c r="B502" s="476"/>
    </row>
    <row r="503" ht="12.75">
      <c r="B503" s="476"/>
    </row>
    <row r="504" ht="12.75">
      <c r="B504" s="476"/>
    </row>
    <row r="505" ht="12.75">
      <c r="B505" s="476"/>
    </row>
    <row r="506" ht="12.75">
      <c r="B506" s="476"/>
    </row>
    <row r="507" ht="12.75">
      <c r="B507" s="476"/>
    </row>
    <row r="508" ht="12.75">
      <c r="B508" s="476"/>
    </row>
    <row r="509" ht="12.75">
      <c r="B509" s="476"/>
    </row>
    <row r="510" ht="12.75">
      <c r="B510" s="476"/>
    </row>
    <row r="511" spans="1:9" ht="15.75">
      <c r="A511" s="480" t="str">
        <f>A3</f>
        <v>LBP Form No. 2</v>
      </c>
      <c r="B511" s="407"/>
      <c r="C511" s="407"/>
      <c r="D511" s="408"/>
      <c r="E511" s="409"/>
      <c r="F511" s="797"/>
      <c r="G511" s="407"/>
      <c r="H511" s="407"/>
      <c r="I511" s="854"/>
    </row>
    <row r="512" spans="1:9" ht="15.75">
      <c r="A512" s="410"/>
      <c r="B512" s="411"/>
      <c r="C512" s="411"/>
      <c r="D512" s="412"/>
      <c r="E512" s="413"/>
      <c r="F512" s="11"/>
      <c r="G512" s="411"/>
      <c r="H512" s="411"/>
      <c r="I512" s="855"/>
    </row>
    <row r="513" spans="1:9" ht="15.75">
      <c r="A513" s="1106" t="str">
        <f>A5</f>
        <v>PROGRAMMED APPROPRIATION AND OBLIGATION BY OBJECT OF EXPENDITURE</v>
      </c>
      <c r="B513" s="1107"/>
      <c r="C513" s="1107"/>
      <c r="D513" s="1107"/>
      <c r="E513" s="1107"/>
      <c r="F513" s="1107"/>
      <c r="G513" s="1107"/>
      <c r="H513" s="1107"/>
      <c r="I513" s="1108"/>
    </row>
    <row r="514" spans="1:9" ht="15.75">
      <c r="A514" s="1109" t="str">
        <f>A6</f>
        <v>Municipality of Trento</v>
      </c>
      <c r="B514" s="1110"/>
      <c r="C514" s="1110"/>
      <c r="D514" s="1110"/>
      <c r="E514" s="1110"/>
      <c r="F514" s="1110"/>
      <c r="G514" s="1110"/>
      <c r="H514" s="1110"/>
      <c r="I514" s="1111"/>
    </row>
    <row r="515" spans="1:9" ht="15.75">
      <c r="A515" s="414" t="s">
        <v>470</v>
      </c>
      <c r="B515" s="411"/>
      <c r="C515" s="411"/>
      <c r="D515" s="412"/>
      <c r="E515" s="413"/>
      <c r="F515" s="11"/>
      <c r="G515" s="411"/>
      <c r="H515" s="411"/>
      <c r="I515" s="855"/>
    </row>
    <row r="516" spans="1:9" ht="12.75">
      <c r="A516" s="425"/>
      <c r="B516" s="10"/>
      <c r="C516" s="10"/>
      <c r="D516" s="481"/>
      <c r="E516" s="482"/>
      <c r="F516" s="812"/>
      <c r="G516" s="10"/>
      <c r="H516" s="483"/>
      <c r="I516" s="865"/>
    </row>
    <row r="517" spans="1:11" s="6" customFormat="1" ht="15.75">
      <c r="A517" s="1112" t="s">
        <v>181</v>
      </c>
      <c r="B517" s="1113"/>
      <c r="C517" s="1114"/>
      <c r="D517" s="415"/>
      <c r="E517" s="416" t="s">
        <v>7</v>
      </c>
      <c r="F517" s="1115" t="str">
        <f>F9</f>
        <v>Current Year 2020 (Estimate)</v>
      </c>
      <c r="G517" s="1116"/>
      <c r="H517" s="1117"/>
      <c r="I517" s="856" t="s">
        <v>10</v>
      </c>
      <c r="J517" s="778"/>
      <c r="K517" s="778"/>
    </row>
    <row r="518" spans="1:11" s="6" customFormat="1" ht="15.75">
      <c r="A518" s="1109"/>
      <c r="B518" s="1110"/>
      <c r="C518" s="1111"/>
      <c r="D518" s="417" t="s">
        <v>5</v>
      </c>
      <c r="E518" s="486" t="str">
        <f>E10</f>
        <v>2019</v>
      </c>
      <c r="F518" s="813" t="s">
        <v>8</v>
      </c>
      <c r="G518" s="485" t="s">
        <v>9</v>
      </c>
      <c r="H518" s="1118" t="s">
        <v>1</v>
      </c>
      <c r="I518" s="813">
        <f>I10</f>
        <v>2021</v>
      </c>
      <c r="J518" s="778"/>
      <c r="K518" s="778"/>
    </row>
    <row r="519" spans="1:11" s="6" customFormat="1" ht="15.75">
      <c r="A519" s="1109"/>
      <c r="B519" s="1110"/>
      <c r="C519" s="1111"/>
      <c r="D519" s="417" t="s">
        <v>12</v>
      </c>
      <c r="E519" s="486" t="s">
        <v>14</v>
      </c>
      <c r="F519" s="813" t="s">
        <v>14</v>
      </c>
      <c r="G519" s="485" t="s">
        <v>15</v>
      </c>
      <c r="H519" s="1119"/>
      <c r="I519" s="813" t="s">
        <v>182</v>
      </c>
      <c r="J519" s="778"/>
      <c r="K519" s="778"/>
    </row>
    <row r="520" spans="1:11" s="6" customFormat="1" ht="12.75">
      <c r="A520" s="1095" t="s">
        <v>183</v>
      </c>
      <c r="B520" s="1096"/>
      <c r="C520" s="1097"/>
      <c r="D520" s="422" t="s">
        <v>184</v>
      </c>
      <c r="E520" s="423" t="s">
        <v>185</v>
      </c>
      <c r="F520" s="814" t="s">
        <v>186</v>
      </c>
      <c r="G520" s="424" t="s">
        <v>187</v>
      </c>
      <c r="H520" s="424" t="s">
        <v>188</v>
      </c>
      <c r="I520" s="832" t="s">
        <v>189</v>
      </c>
      <c r="J520" s="778"/>
      <c r="K520" s="778"/>
    </row>
    <row r="521" spans="1:9" ht="12.75">
      <c r="A521" s="425"/>
      <c r="B521" s="10"/>
      <c r="C521" s="10"/>
      <c r="D521" s="506"/>
      <c r="E521" s="427"/>
      <c r="F521" s="801"/>
      <c r="G521" s="425"/>
      <c r="H521" s="428"/>
      <c r="I521" s="858"/>
    </row>
    <row r="522" spans="1:9" ht="15.75">
      <c r="A522" s="441">
        <v>1</v>
      </c>
      <c r="B522" s="430" t="s">
        <v>190</v>
      </c>
      <c r="C522" s="411"/>
      <c r="D522" s="488"/>
      <c r="E522" s="427"/>
      <c r="F522" s="801"/>
      <c r="G522" s="425"/>
      <c r="H522" s="428"/>
      <c r="I522" s="858"/>
    </row>
    <row r="523" spans="1:9" ht="15.75">
      <c r="A523" s="410"/>
      <c r="B523" s="507">
        <v>1.1</v>
      </c>
      <c r="C523" s="411" t="s">
        <v>159</v>
      </c>
      <c r="D523" s="488"/>
      <c r="E523" s="427"/>
      <c r="F523" s="801"/>
      <c r="G523" s="425"/>
      <c r="H523" s="428"/>
      <c r="I523" s="858"/>
    </row>
    <row r="524" spans="1:9" ht="15.75">
      <c r="A524" s="410"/>
      <c r="B524" s="411"/>
      <c r="C524" s="411" t="s">
        <v>52</v>
      </c>
      <c r="D524" s="488"/>
      <c r="E524" s="434">
        <v>1520903.95</v>
      </c>
      <c r="F524" s="637">
        <v>783042</v>
      </c>
      <c r="G524" s="434">
        <f aca="true" t="shared" si="14" ref="G524:G539">H524-F524</f>
        <v>799578</v>
      </c>
      <c r="H524" s="639">
        <v>1582620</v>
      </c>
      <c r="I524" s="639">
        <v>1583403</v>
      </c>
    </row>
    <row r="525" spans="1:9" ht="15.75">
      <c r="A525" s="410"/>
      <c r="B525" s="411"/>
      <c r="C525" s="411" t="s">
        <v>53</v>
      </c>
      <c r="D525" s="488"/>
      <c r="E525" s="434">
        <v>120000</v>
      </c>
      <c r="F525" s="637">
        <v>60000</v>
      </c>
      <c r="G525" s="434">
        <f t="shared" si="14"/>
        <v>60000</v>
      </c>
      <c r="H525" s="639">
        <f>2000*5*12</f>
        <v>120000</v>
      </c>
      <c r="I525" s="639">
        <f>2000*5*12</f>
        <v>120000</v>
      </c>
    </row>
    <row r="526" spans="1:9" ht="15.75">
      <c r="A526" s="410"/>
      <c r="B526" s="411"/>
      <c r="C526" s="411" t="s">
        <v>54</v>
      </c>
      <c r="D526" s="488"/>
      <c r="E526" s="434">
        <v>81000</v>
      </c>
      <c r="F526" s="637">
        <v>40500</v>
      </c>
      <c r="G526" s="434">
        <f t="shared" si="14"/>
        <v>40500</v>
      </c>
      <c r="H526" s="639">
        <v>81000</v>
      </c>
      <c r="I526" s="639">
        <v>81000</v>
      </c>
    </row>
    <row r="527" spans="1:9" ht="15.75">
      <c r="A527" s="410"/>
      <c r="B527" s="411"/>
      <c r="C527" s="411" t="s">
        <v>55</v>
      </c>
      <c r="D527" s="488"/>
      <c r="E527" s="434">
        <v>81000</v>
      </c>
      <c r="F527" s="637">
        <v>40500</v>
      </c>
      <c r="G527" s="434">
        <f t="shared" si="14"/>
        <v>40500</v>
      </c>
      <c r="H527" s="639">
        <v>81000</v>
      </c>
      <c r="I527" s="639">
        <v>81000</v>
      </c>
    </row>
    <row r="528" spans="1:9" ht="15.75">
      <c r="A528" s="410"/>
      <c r="B528" s="411"/>
      <c r="C528" s="411" t="s">
        <v>484</v>
      </c>
      <c r="D528" s="488"/>
      <c r="E528" s="434">
        <v>30000</v>
      </c>
      <c r="F528" s="637">
        <v>30000</v>
      </c>
      <c r="G528" s="434">
        <f t="shared" si="14"/>
        <v>0</v>
      </c>
      <c r="H528" s="639">
        <f>6000*5</f>
        <v>30000</v>
      </c>
      <c r="I528" s="639">
        <f>6000*5</f>
        <v>30000</v>
      </c>
    </row>
    <row r="529" spans="1:9" ht="15.75">
      <c r="A529" s="410"/>
      <c r="B529" s="411"/>
      <c r="C529" s="411" t="s">
        <v>0</v>
      </c>
      <c r="D529" s="488"/>
      <c r="E529" s="434">
        <v>126725</v>
      </c>
      <c r="F529" s="637">
        <v>0</v>
      </c>
      <c r="G529" s="434">
        <f t="shared" si="14"/>
        <v>131885</v>
      </c>
      <c r="H529" s="639">
        <v>131885</v>
      </c>
      <c r="I529" s="639">
        <f>I532</f>
        <v>131950.25</v>
      </c>
    </row>
    <row r="530" spans="1:9" ht="15.75">
      <c r="A530" s="410"/>
      <c r="B530" s="411"/>
      <c r="C530" s="411" t="s">
        <v>59</v>
      </c>
      <c r="D530" s="488"/>
      <c r="E530" s="434">
        <v>25000</v>
      </c>
      <c r="F530" s="637">
        <v>0</v>
      </c>
      <c r="G530" s="434">
        <f t="shared" si="14"/>
        <v>25000</v>
      </c>
      <c r="H530" s="639">
        <f>5000*5</f>
        <v>25000</v>
      </c>
      <c r="I530" s="639">
        <f>5000*5</f>
        <v>25000</v>
      </c>
    </row>
    <row r="531" spans="1:9" ht="15.75">
      <c r="A531" s="410"/>
      <c r="B531" s="411"/>
      <c r="C531" s="411" t="str">
        <f>C23</f>
        <v>Performance Base Bonus</v>
      </c>
      <c r="D531" s="488"/>
      <c r="E531" s="434">
        <v>120064.42</v>
      </c>
      <c r="F531" s="637">
        <v>82371.25</v>
      </c>
      <c r="G531" s="434">
        <f t="shared" si="14"/>
        <v>44640.83</v>
      </c>
      <c r="H531" s="639">
        <v>127012.08</v>
      </c>
      <c r="I531" s="639">
        <f>I524/12</f>
        <v>131950.25</v>
      </c>
    </row>
    <row r="532" spans="1:9" ht="15.75">
      <c r="A532" s="410"/>
      <c r="B532" s="411"/>
      <c r="C532" s="411" t="str">
        <f>C24</f>
        <v>Mid Year</v>
      </c>
      <c r="D532" s="488"/>
      <c r="E532" s="434">
        <v>126725</v>
      </c>
      <c r="F532" s="637">
        <v>130507</v>
      </c>
      <c r="G532" s="434">
        <f t="shared" si="14"/>
        <v>1378</v>
      </c>
      <c r="H532" s="639">
        <v>131885</v>
      </c>
      <c r="I532" s="639">
        <f>I531</f>
        <v>131950.25</v>
      </c>
    </row>
    <row r="533" spans="1:9" ht="15.75">
      <c r="A533" s="410"/>
      <c r="B533" s="411"/>
      <c r="C533" s="411" t="s">
        <v>485</v>
      </c>
      <c r="D533" s="490"/>
      <c r="E533" s="434">
        <v>181163.71</v>
      </c>
      <c r="F533" s="637">
        <v>93965.04</v>
      </c>
      <c r="G533" s="434">
        <f t="shared" si="14"/>
        <v>95949.36</v>
      </c>
      <c r="H533" s="639">
        <v>189914.4</v>
      </c>
      <c r="I533" s="639">
        <f>I524*12%</f>
        <v>190008.36</v>
      </c>
    </row>
    <row r="534" spans="1:9" ht="15.75">
      <c r="A534" s="410"/>
      <c r="B534" s="411"/>
      <c r="C534" s="411" t="s">
        <v>61</v>
      </c>
      <c r="D534" s="490"/>
      <c r="E534" s="434">
        <v>9535.68</v>
      </c>
      <c r="F534" s="637">
        <v>3294.64</v>
      </c>
      <c r="G534" s="434">
        <f t="shared" si="14"/>
        <v>28357.760000000002</v>
      </c>
      <c r="H534" s="639">
        <v>31652.4</v>
      </c>
      <c r="I534" s="639">
        <f>100*5*12</f>
        <v>6000</v>
      </c>
    </row>
    <row r="535" spans="1:9" ht="15.75">
      <c r="A535" s="410"/>
      <c r="B535" s="411"/>
      <c r="C535" s="411" t="s">
        <v>62</v>
      </c>
      <c r="D535" s="490"/>
      <c r="E535" s="434">
        <v>14909.4</v>
      </c>
      <c r="F535" s="637">
        <v>10075.72</v>
      </c>
      <c r="G535" s="434">
        <f t="shared" si="14"/>
        <v>13663.58</v>
      </c>
      <c r="H535" s="639">
        <v>23739.3</v>
      </c>
      <c r="I535" s="639">
        <f>I524*1.75%</f>
        <v>27709.5525</v>
      </c>
    </row>
    <row r="536" spans="1:9" ht="15.75">
      <c r="A536" s="410"/>
      <c r="B536" s="411"/>
      <c r="C536" s="411" t="s">
        <v>262</v>
      </c>
      <c r="D536" s="490"/>
      <c r="E536" s="434">
        <v>5990.34</v>
      </c>
      <c r="F536" s="637">
        <v>2999.22</v>
      </c>
      <c r="G536" s="434">
        <f t="shared" si="14"/>
        <v>3030.9</v>
      </c>
      <c r="H536" s="639">
        <v>6030.12</v>
      </c>
      <c r="I536" s="639">
        <f>100*5*12</f>
        <v>6000</v>
      </c>
    </row>
    <row r="537" spans="1:9" ht="15.75">
      <c r="A537" s="410"/>
      <c r="B537" s="411"/>
      <c r="C537" s="411" t="s">
        <v>66</v>
      </c>
      <c r="D537" s="490"/>
      <c r="E537" s="434">
        <v>125000</v>
      </c>
      <c r="F537" s="637">
        <v>29823.33</v>
      </c>
      <c r="G537" s="434">
        <f t="shared" si="14"/>
        <v>254137.37</v>
      </c>
      <c r="H537" s="639">
        <v>283960.7</v>
      </c>
      <c r="I537" s="639">
        <f>20000*5</f>
        <v>100000</v>
      </c>
    </row>
    <row r="538" spans="1:9" ht="15.75">
      <c r="A538" s="410"/>
      <c r="B538" s="411"/>
      <c r="C538" s="411" t="str">
        <f>C31</f>
        <v>Productivity Enhancement Incentive</v>
      </c>
      <c r="D538" s="488"/>
      <c r="E538" s="434">
        <v>25000</v>
      </c>
      <c r="F538" s="637">
        <v>0</v>
      </c>
      <c r="G538" s="434">
        <f t="shared" si="14"/>
        <v>25000</v>
      </c>
      <c r="H538" s="639">
        <f>5000*5</f>
        <v>25000</v>
      </c>
      <c r="I538" s="639">
        <f>5000*5</f>
        <v>25000</v>
      </c>
    </row>
    <row r="539" spans="1:9" ht="15.75">
      <c r="A539" s="410"/>
      <c r="B539" s="411"/>
      <c r="C539" s="411" t="s">
        <v>294</v>
      </c>
      <c r="D539" s="490"/>
      <c r="E539" s="434">
        <v>45667.65</v>
      </c>
      <c r="F539" s="637"/>
      <c r="G539" s="434">
        <f t="shared" si="14"/>
        <v>0</v>
      </c>
      <c r="H539" s="639"/>
      <c r="I539" s="639">
        <f>2984370.45-2675329.8</f>
        <v>309040.6500000004</v>
      </c>
    </row>
    <row r="540" spans="1:9" ht="15.75">
      <c r="A540" s="410"/>
      <c r="B540" s="411"/>
      <c r="C540" s="411" t="s">
        <v>67</v>
      </c>
      <c r="D540" s="490"/>
      <c r="E540" s="436">
        <f>SUM(E524:E539)</f>
        <v>2638685.15</v>
      </c>
      <c r="F540" s="636">
        <f>SUM(F524:F539)</f>
        <v>1307078.2</v>
      </c>
      <c r="G540" s="436">
        <f>SUM(G524:G539)</f>
        <v>1563620.8000000003</v>
      </c>
      <c r="H540" s="436">
        <f>SUM(H524:H539)</f>
        <v>2870699</v>
      </c>
      <c r="I540" s="636">
        <f>SUM(I524:I539)</f>
        <v>2980012.3125000005</v>
      </c>
    </row>
    <row r="541" spans="1:9" ht="15.75">
      <c r="A541" s="410"/>
      <c r="B541" s="411"/>
      <c r="C541" s="411"/>
      <c r="D541" s="488"/>
      <c r="E541" s="413"/>
      <c r="F541" s="739"/>
      <c r="G541" s="434"/>
      <c r="H541" s="434"/>
      <c r="I541" s="637"/>
    </row>
    <row r="542" spans="1:9" ht="15.75">
      <c r="A542" s="410"/>
      <c r="B542" s="507">
        <v>1.2</v>
      </c>
      <c r="C542" s="411" t="s">
        <v>191</v>
      </c>
      <c r="D542" s="488"/>
      <c r="E542" s="413"/>
      <c r="F542" s="637"/>
      <c r="G542" s="434"/>
      <c r="H542" s="434"/>
      <c r="I542" s="637"/>
    </row>
    <row r="543" spans="1:9" ht="15.75">
      <c r="A543" s="410"/>
      <c r="B543" s="411"/>
      <c r="C543" s="411" t="s">
        <v>199</v>
      </c>
      <c r="D543" s="488"/>
      <c r="E543" s="413"/>
      <c r="F543" s="637"/>
      <c r="G543" s="434"/>
      <c r="H543" s="434"/>
      <c r="I543" s="637"/>
    </row>
    <row r="544" spans="1:9" ht="15.75">
      <c r="A544" s="410"/>
      <c r="B544" s="411"/>
      <c r="C544" s="411"/>
      <c r="D544" s="488"/>
      <c r="E544" s="413"/>
      <c r="F544" s="637"/>
      <c r="G544" s="434"/>
      <c r="H544" s="434"/>
      <c r="I544" s="638"/>
    </row>
    <row r="545" spans="1:9" ht="15.75">
      <c r="A545" s="410"/>
      <c r="B545" s="411"/>
      <c r="C545" s="411" t="s">
        <v>69</v>
      </c>
      <c r="D545" s="488"/>
      <c r="E545" s="438">
        <v>85839</v>
      </c>
      <c r="F545" s="802">
        <v>4883</v>
      </c>
      <c r="G545" s="434">
        <f aca="true" t="shared" si="15" ref="G545:G551">H545-F545</f>
        <v>115117</v>
      </c>
      <c r="H545" s="637">
        <v>120000</v>
      </c>
      <c r="I545" s="637">
        <v>50000</v>
      </c>
    </row>
    <row r="546" spans="1:9" ht="15.75">
      <c r="A546" s="410"/>
      <c r="B546" s="411"/>
      <c r="C546" s="411" t="s">
        <v>176</v>
      </c>
      <c r="D546" s="488"/>
      <c r="E546" s="438">
        <v>12260</v>
      </c>
      <c r="F546" s="802">
        <v>0</v>
      </c>
      <c r="G546" s="434">
        <f t="shared" si="15"/>
        <v>50000</v>
      </c>
      <c r="H546" s="637">
        <v>50000</v>
      </c>
      <c r="I546" s="637">
        <v>20000</v>
      </c>
    </row>
    <row r="547" spans="1:9" ht="15.75">
      <c r="A547" s="410"/>
      <c r="B547" s="411"/>
      <c r="C547" s="411" t="s">
        <v>70</v>
      </c>
      <c r="D547" s="490"/>
      <c r="E547" s="434">
        <v>49176.19</v>
      </c>
      <c r="F547" s="637">
        <v>52003.26</v>
      </c>
      <c r="G547" s="434">
        <f t="shared" si="15"/>
        <v>47996.74</v>
      </c>
      <c r="H547" s="637">
        <v>100000</v>
      </c>
      <c r="I547" s="637">
        <v>100000</v>
      </c>
    </row>
    <row r="548" spans="1:9" ht="15.75">
      <c r="A548" s="410"/>
      <c r="B548" s="411"/>
      <c r="C548" s="411" t="s">
        <v>74</v>
      </c>
      <c r="D548" s="488"/>
      <c r="E548" s="438">
        <v>17400</v>
      </c>
      <c r="F548" s="802">
        <v>0</v>
      </c>
      <c r="G548" s="434">
        <f t="shared" si="15"/>
        <v>40000</v>
      </c>
      <c r="H548" s="637">
        <v>40000</v>
      </c>
      <c r="I548" s="637">
        <v>40000</v>
      </c>
    </row>
    <row r="549" spans="1:9" ht="15.75">
      <c r="A549" s="410"/>
      <c r="B549" s="411"/>
      <c r="C549" s="411" t="s">
        <v>97</v>
      </c>
      <c r="D549" s="490"/>
      <c r="E549" s="434">
        <v>22000</v>
      </c>
      <c r="F549" s="637">
        <v>12000</v>
      </c>
      <c r="G549" s="434">
        <f t="shared" si="15"/>
        <v>12000</v>
      </c>
      <c r="H549" s="637">
        <v>24000</v>
      </c>
      <c r="I549" s="637">
        <v>24000</v>
      </c>
    </row>
    <row r="550" spans="1:9" ht="15.75">
      <c r="A550" s="410"/>
      <c r="B550" s="411"/>
      <c r="C550" s="411" t="s">
        <v>265</v>
      </c>
      <c r="D550" s="490"/>
      <c r="E550" s="434">
        <v>53060</v>
      </c>
      <c r="F550" s="637">
        <v>32760</v>
      </c>
      <c r="G550" s="434">
        <f t="shared" si="15"/>
        <v>67240</v>
      </c>
      <c r="H550" s="637">
        <v>100000</v>
      </c>
      <c r="I550" s="637">
        <v>100000</v>
      </c>
    </row>
    <row r="551" spans="1:9" ht="15.75">
      <c r="A551" s="410"/>
      <c r="B551" s="411"/>
      <c r="C551" s="493" t="s">
        <v>411</v>
      </c>
      <c r="D551" s="488"/>
      <c r="E551" s="434"/>
      <c r="F551" s="637"/>
      <c r="G551" s="434">
        <f t="shared" si="15"/>
        <v>0</v>
      </c>
      <c r="H551" s="637"/>
      <c r="I551" s="637"/>
    </row>
    <row r="552" spans="1:9" ht="15.75">
      <c r="A552" s="410"/>
      <c r="B552" s="411"/>
      <c r="C552" s="411" t="s">
        <v>192</v>
      </c>
      <c r="D552" s="488"/>
      <c r="E552" s="1121">
        <f>SUM(E545:E551)</f>
        <v>239735.19</v>
      </c>
      <c r="F552" s="820"/>
      <c r="G552" s="1123">
        <f>SUM(G545:G551)</f>
        <v>332353.74</v>
      </c>
      <c r="H552" s="766"/>
      <c r="I552" s="1125">
        <f>SUM(I545:I551)</f>
        <v>334000</v>
      </c>
    </row>
    <row r="553" spans="1:9" ht="15.75">
      <c r="A553" s="410"/>
      <c r="B553" s="411"/>
      <c r="C553" s="411" t="s">
        <v>193</v>
      </c>
      <c r="D553" s="488"/>
      <c r="E553" s="1122"/>
      <c r="F553" s="774">
        <f>SUM(F545:F552)</f>
        <v>101646.26000000001</v>
      </c>
      <c r="G553" s="1124"/>
      <c r="H553" s="767">
        <f>SUM(H545:H552)</f>
        <v>434000</v>
      </c>
      <c r="I553" s="1126"/>
    </row>
    <row r="554" spans="1:9" ht="15.75">
      <c r="A554" s="410"/>
      <c r="B554" s="411"/>
      <c r="C554" s="411"/>
      <c r="D554" s="488"/>
      <c r="E554" s="434"/>
      <c r="F554" s="639"/>
      <c r="G554" s="440"/>
      <c r="H554" s="440"/>
      <c r="I554" s="639"/>
    </row>
    <row r="555" spans="1:9" ht="15.75">
      <c r="A555" s="441">
        <v>2</v>
      </c>
      <c r="B555" s="411" t="s">
        <v>89</v>
      </c>
      <c r="C555" s="411"/>
      <c r="D555" s="488"/>
      <c r="E555" s="434"/>
      <c r="F555" s="639"/>
      <c r="G555" s="440"/>
      <c r="H555" s="440"/>
      <c r="I555" s="639"/>
    </row>
    <row r="556" spans="1:9" ht="15.75">
      <c r="A556" s="410"/>
      <c r="B556" s="411"/>
      <c r="C556" s="411" t="s">
        <v>194</v>
      </c>
      <c r="D556" s="488"/>
      <c r="E556" s="434">
        <v>39500</v>
      </c>
      <c r="F556" s="639"/>
      <c r="G556" s="440">
        <f>H556-F556</f>
        <v>20000</v>
      </c>
      <c r="H556" s="639">
        <v>20000</v>
      </c>
      <c r="I556" s="639">
        <v>0</v>
      </c>
    </row>
    <row r="557" spans="1:9" ht="15.75">
      <c r="A557" s="410"/>
      <c r="B557" s="411"/>
      <c r="C557" s="411" t="s">
        <v>92</v>
      </c>
      <c r="D557" s="488"/>
      <c r="E557" s="494">
        <v>57100</v>
      </c>
      <c r="F557" s="639">
        <v>53200</v>
      </c>
      <c r="G557" s="440">
        <f>H557-F557</f>
        <v>26800</v>
      </c>
      <c r="H557" s="639">
        <v>80000</v>
      </c>
      <c r="I557" s="639">
        <v>0</v>
      </c>
    </row>
    <row r="558" spans="1:9" ht="15.75">
      <c r="A558" s="410"/>
      <c r="B558" s="411"/>
      <c r="C558" s="411" t="s">
        <v>94</v>
      </c>
      <c r="D558" s="500"/>
      <c r="E558" s="542">
        <f>SUM(E556:E557)</f>
        <v>96600</v>
      </c>
      <c r="F558" s="773">
        <f>F557</f>
        <v>53200</v>
      </c>
      <c r="G558" s="766">
        <f>H558-F558</f>
        <v>46800</v>
      </c>
      <c r="H558" s="766">
        <f>SUM(H556:H557)</f>
        <v>100000</v>
      </c>
      <c r="I558" s="820">
        <f>SUM(I556:I557)</f>
        <v>0</v>
      </c>
    </row>
    <row r="559" spans="1:9" ht="15.75">
      <c r="A559" s="480" t="s">
        <v>212</v>
      </c>
      <c r="B559" s="407"/>
      <c r="C559" s="407"/>
      <c r="D559" s="543"/>
      <c r="E559" s="544">
        <f>+E558+E552+E540</f>
        <v>2975020.34</v>
      </c>
      <c r="F559" s="819">
        <f>F553+F540+F558</f>
        <v>1461924.46</v>
      </c>
      <c r="G559" s="495">
        <f>G558+G552+G540</f>
        <v>1942774.5400000003</v>
      </c>
      <c r="H559" s="495">
        <f>H540+H553+H558</f>
        <v>3404699</v>
      </c>
      <c r="I559" s="819">
        <f>I540+I552+I558</f>
        <v>3314012.3125000005</v>
      </c>
    </row>
    <row r="560" spans="1:9" ht="12.75">
      <c r="A560" s="448"/>
      <c r="B560" s="449"/>
      <c r="C560" s="450"/>
      <c r="D560" s="501"/>
      <c r="E560" s="452"/>
      <c r="F560" s="805"/>
      <c r="G560" s="449"/>
      <c r="H560" s="453"/>
      <c r="I560" s="860"/>
    </row>
    <row r="561" spans="1:9" ht="12.75">
      <c r="A561" s="454"/>
      <c r="B561" s="455"/>
      <c r="C561" s="456"/>
      <c r="D561" s="451"/>
      <c r="E561" s="457"/>
      <c r="F561" s="806"/>
      <c r="G561" s="459"/>
      <c r="H561" s="458"/>
      <c r="I561" s="861"/>
    </row>
    <row r="562" spans="1:9" ht="18">
      <c r="A562" s="460" t="s">
        <v>196</v>
      </c>
      <c r="B562" s="461"/>
      <c r="C562" s="456"/>
      <c r="D562" s="463"/>
      <c r="E562" s="464" t="s">
        <v>197</v>
      </c>
      <c r="F562" s="16"/>
      <c r="G562" s="465"/>
      <c r="H562" s="465" t="s">
        <v>198</v>
      </c>
      <c r="I562" s="862"/>
    </row>
    <row r="563" spans="1:9" ht="18">
      <c r="A563" s="460"/>
      <c r="B563" s="465"/>
      <c r="C563" s="465"/>
      <c r="D563" s="463"/>
      <c r="E563" s="467"/>
      <c r="F563" s="16"/>
      <c r="G563" s="465"/>
      <c r="H563" s="465"/>
      <c r="I563" s="862"/>
    </row>
    <row r="564" spans="1:9" ht="18">
      <c r="A564" s="460"/>
      <c r="B564" s="465"/>
      <c r="C564" s="465"/>
      <c r="D564" s="463"/>
      <c r="E564" s="525"/>
      <c r="F564" s="16"/>
      <c r="G564" s="465"/>
      <c r="H564" s="465"/>
      <c r="I564" s="249"/>
    </row>
    <row r="565" spans="1:9" ht="18">
      <c r="A565" s="460"/>
      <c r="B565" s="465"/>
      <c r="C565" s="465"/>
      <c r="D565" s="463"/>
      <c r="E565" s="467"/>
      <c r="F565" s="16"/>
      <c r="G565" s="465"/>
      <c r="H565" s="465"/>
      <c r="I565" s="249"/>
    </row>
    <row r="566" spans="1:9" ht="18">
      <c r="A566" s="460" t="s">
        <v>319</v>
      </c>
      <c r="B566" s="465"/>
      <c r="C566" s="465"/>
      <c r="D566" s="1103" t="str">
        <f>E185</f>
        <v>JANE B. LARIOSA</v>
      </c>
      <c r="E566" s="1091"/>
      <c r="F566" s="1091"/>
      <c r="G566" s="757"/>
      <c r="H566" s="757" t="str">
        <f>G493</f>
        <v>WILLIAM E. CALVEZ, CE</v>
      </c>
      <c r="I566" s="873"/>
    </row>
    <row r="567" spans="1:9" ht="18">
      <c r="A567" s="470" t="s">
        <v>312</v>
      </c>
      <c r="B567" s="433"/>
      <c r="C567" s="433"/>
      <c r="D567" s="1103" t="str">
        <f>E186</f>
        <v>AO II/OIC MBO</v>
      </c>
      <c r="E567" s="1091"/>
      <c r="F567" s="1091"/>
      <c r="G567" s="1104" t="s">
        <v>213</v>
      </c>
      <c r="H567" s="1104"/>
      <c r="I567" s="1105"/>
    </row>
    <row r="568" spans="1:9" ht="18">
      <c r="A568" s="545"/>
      <c r="B568" s="546"/>
      <c r="C568" s="546"/>
      <c r="D568" s="504"/>
      <c r="E568" s="461"/>
      <c r="F568" s="829"/>
      <c r="G568" s="546"/>
      <c r="H568" s="546"/>
      <c r="I568" s="874"/>
    </row>
    <row r="569" spans="1:9" ht="12.75">
      <c r="A569" s="547"/>
      <c r="B569" s="547"/>
      <c r="C569" s="547"/>
      <c r="D569" s="540"/>
      <c r="E569" s="548"/>
      <c r="F569" s="830"/>
      <c r="G569" s="547"/>
      <c r="H569" s="549"/>
      <c r="I569" s="875"/>
    </row>
    <row r="570" spans="1:9" ht="12.75">
      <c r="A570" s="550"/>
      <c r="B570" s="550"/>
      <c r="C570" s="550"/>
      <c r="D570" s="481"/>
      <c r="E570" s="551"/>
      <c r="F570" s="831"/>
      <c r="G570" s="550"/>
      <c r="H570" s="552"/>
      <c r="I570" s="876"/>
    </row>
    <row r="571" spans="2:6" ht="12.75">
      <c r="B571" s="476"/>
      <c r="F571" s="831"/>
    </row>
    <row r="572" spans="2:6" ht="12.75">
      <c r="B572" s="476"/>
      <c r="F572" s="831"/>
    </row>
    <row r="573" spans="2:6" ht="12.75">
      <c r="B573" s="476"/>
      <c r="F573" s="831"/>
    </row>
    <row r="574" spans="2:6" ht="12.75">
      <c r="B574" s="476"/>
      <c r="F574" s="831"/>
    </row>
    <row r="575" spans="2:6" ht="12.75">
      <c r="B575" s="476"/>
      <c r="F575" s="831"/>
    </row>
    <row r="576" spans="2:6" ht="12.75">
      <c r="B576" s="476"/>
      <c r="F576" s="831"/>
    </row>
    <row r="577" spans="2:6" ht="12.75">
      <c r="B577" s="476"/>
      <c r="F577" s="831"/>
    </row>
    <row r="578" spans="2:6" ht="12.75">
      <c r="B578" s="476"/>
      <c r="F578" s="831"/>
    </row>
    <row r="579" spans="2:6" ht="12.75">
      <c r="B579" s="476"/>
      <c r="F579" s="831"/>
    </row>
    <row r="580" ht="12.75">
      <c r="B580" s="476"/>
    </row>
    <row r="581" ht="12.75">
      <c r="B581" s="476"/>
    </row>
    <row r="582" ht="12.75">
      <c r="B582" s="476"/>
    </row>
    <row r="583" ht="12.75">
      <c r="B583" s="476"/>
    </row>
    <row r="584" ht="12.75">
      <c r="B584" s="476"/>
    </row>
    <row r="585" spans="1:9" ht="15.75">
      <c r="A585" s="480" t="str">
        <f>A3</f>
        <v>LBP Form No. 2</v>
      </c>
      <c r="B585" s="407"/>
      <c r="C585" s="407"/>
      <c r="D585" s="408"/>
      <c r="E585" s="409"/>
      <c r="F585" s="797"/>
      <c r="G585" s="407"/>
      <c r="H585" s="407"/>
      <c r="I585" s="854"/>
    </row>
    <row r="586" spans="1:9" ht="15.75">
      <c r="A586" s="410"/>
      <c r="B586" s="411"/>
      <c r="C586" s="411"/>
      <c r="D586" s="412"/>
      <c r="E586" s="413"/>
      <c r="F586" s="11"/>
      <c r="G586" s="411"/>
      <c r="H586" s="411"/>
      <c r="I586" s="855"/>
    </row>
    <row r="587" spans="1:9" ht="15.75">
      <c r="A587" s="1106" t="str">
        <f>A5</f>
        <v>PROGRAMMED APPROPRIATION AND OBLIGATION BY OBJECT OF EXPENDITURE</v>
      </c>
      <c r="B587" s="1107"/>
      <c r="C587" s="1107"/>
      <c r="D587" s="1107"/>
      <c r="E587" s="1107"/>
      <c r="F587" s="1107"/>
      <c r="G587" s="1107"/>
      <c r="H587" s="1107"/>
      <c r="I587" s="1108"/>
    </row>
    <row r="588" spans="1:9" ht="15.75">
      <c r="A588" s="1109" t="str">
        <f>A6</f>
        <v>Municipality of Trento</v>
      </c>
      <c r="B588" s="1110"/>
      <c r="C588" s="1110"/>
      <c r="D588" s="1110"/>
      <c r="E588" s="1110"/>
      <c r="F588" s="1110"/>
      <c r="G588" s="1110"/>
      <c r="H588" s="1110"/>
      <c r="I588" s="1111"/>
    </row>
    <row r="589" spans="1:9" ht="15.75">
      <c r="A589" s="414" t="s">
        <v>471</v>
      </c>
      <c r="B589" s="411"/>
      <c r="C589" s="411"/>
      <c r="D589" s="412"/>
      <c r="E589" s="413"/>
      <c r="F589" s="11"/>
      <c r="G589" s="411"/>
      <c r="H589" s="411"/>
      <c r="I589" s="855"/>
    </row>
    <row r="590" spans="1:9" ht="12.75">
      <c r="A590" s="425"/>
      <c r="B590" s="10"/>
      <c r="C590" s="10"/>
      <c r="D590" s="481"/>
      <c r="E590" s="482"/>
      <c r="F590" s="812"/>
      <c r="G590" s="10"/>
      <c r="H590" s="483"/>
      <c r="I590" s="865"/>
    </row>
    <row r="591" spans="1:11" s="6" customFormat="1" ht="15.75">
      <c r="A591" s="1112" t="s">
        <v>181</v>
      </c>
      <c r="B591" s="1113"/>
      <c r="C591" s="1114"/>
      <c r="D591" s="530"/>
      <c r="E591" s="416" t="s">
        <v>7</v>
      </c>
      <c r="F591" s="1115" t="str">
        <f>F9</f>
        <v>Current Year 2020 (Estimate)</v>
      </c>
      <c r="G591" s="1116"/>
      <c r="H591" s="1117"/>
      <c r="I591" s="856" t="s">
        <v>10</v>
      </c>
      <c r="J591" s="778"/>
      <c r="K591" s="778"/>
    </row>
    <row r="592" spans="1:11" s="6" customFormat="1" ht="15.75">
      <c r="A592" s="1109"/>
      <c r="B592" s="1110"/>
      <c r="C592" s="1111"/>
      <c r="D592" s="417" t="s">
        <v>5</v>
      </c>
      <c r="E592" s="486" t="str">
        <f>E10</f>
        <v>2019</v>
      </c>
      <c r="F592" s="813" t="s">
        <v>8</v>
      </c>
      <c r="G592" s="485" t="s">
        <v>9</v>
      </c>
      <c r="H592" s="1118" t="s">
        <v>1</v>
      </c>
      <c r="I592" s="813">
        <f>I10</f>
        <v>2021</v>
      </c>
      <c r="J592" s="778"/>
      <c r="K592" s="778"/>
    </row>
    <row r="593" spans="1:11" s="6" customFormat="1" ht="15.75">
      <c r="A593" s="1109"/>
      <c r="B593" s="1110"/>
      <c r="C593" s="1111"/>
      <c r="D593" s="417" t="s">
        <v>12</v>
      </c>
      <c r="E593" s="486" t="s">
        <v>14</v>
      </c>
      <c r="F593" s="813" t="s">
        <v>14</v>
      </c>
      <c r="G593" s="485" t="s">
        <v>15</v>
      </c>
      <c r="H593" s="1119"/>
      <c r="I593" s="813" t="s">
        <v>182</v>
      </c>
      <c r="J593" s="778"/>
      <c r="K593" s="778"/>
    </row>
    <row r="594" spans="1:11" s="6" customFormat="1" ht="12.75">
      <c r="A594" s="1095" t="s">
        <v>183</v>
      </c>
      <c r="B594" s="1096"/>
      <c r="C594" s="1097"/>
      <c r="D594" s="422" t="s">
        <v>184</v>
      </c>
      <c r="E594" s="423" t="s">
        <v>185</v>
      </c>
      <c r="F594" s="814" t="s">
        <v>186</v>
      </c>
      <c r="G594" s="424" t="s">
        <v>187</v>
      </c>
      <c r="H594" s="424" t="s">
        <v>188</v>
      </c>
      <c r="I594" s="832" t="s">
        <v>189</v>
      </c>
      <c r="J594" s="778"/>
      <c r="K594" s="778"/>
    </row>
    <row r="595" spans="1:9" ht="12.75">
      <c r="A595" s="425"/>
      <c r="B595" s="10"/>
      <c r="C595" s="10"/>
      <c r="D595" s="506"/>
      <c r="E595" s="427"/>
      <c r="F595" s="801"/>
      <c r="G595" s="425"/>
      <c r="H595" s="428"/>
      <c r="I595" s="858"/>
    </row>
    <row r="596" spans="1:9" ht="15.75">
      <c r="A596" s="441">
        <v>1</v>
      </c>
      <c r="B596" s="430" t="s">
        <v>190</v>
      </c>
      <c r="C596" s="411"/>
      <c r="D596" s="488"/>
      <c r="E596" s="427"/>
      <c r="F596" s="801"/>
      <c r="G596" s="425"/>
      <c r="H596" s="428"/>
      <c r="I596" s="858"/>
    </row>
    <row r="597" spans="1:9" ht="15.75">
      <c r="A597" s="410"/>
      <c r="B597" s="507">
        <v>1.1</v>
      </c>
      <c r="C597" s="411" t="s">
        <v>159</v>
      </c>
      <c r="D597" s="488"/>
      <c r="E597" s="427"/>
      <c r="F597" s="801"/>
      <c r="G597" s="425"/>
      <c r="H597" s="428"/>
      <c r="I597" s="858"/>
    </row>
    <row r="598" spans="1:9" ht="15.75">
      <c r="A598" s="410"/>
      <c r="B598" s="411"/>
      <c r="C598" s="411" t="s">
        <v>52</v>
      </c>
      <c r="D598" s="488"/>
      <c r="E598" s="434">
        <v>1659384</v>
      </c>
      <c r="F598" s="637">
        <v>758454</v>
      </c>
      <c r="G598" s="434">
        <f aca="true" t="shared" si="16" ref="G598:G613">H598-F598</f>
        <v>947514</v>
      </c>
      <c r="H598" s="639">
        <v>1705968</v>
      </c>
      <c r="I598" s="639">
        <v>1855371</v>
      </c>
    </row>
    <row r="599" spans="1:9" ht="15.75">
      <c r="A599" s="410"/>
      <c r="B599" s="411"/>
      <c r="C599" s="411" t="s">
        <v>53</v>
      </c>
      <c r="D599" s="488"/>
      <c r="E599" s="434">
        <v>108458.05</v>
      </c>
      <c r="F599" s="637">
        <v>48000</v>
      </c>
      <c r="G599" s="434">
        <f t="shared" si="16"/>
        <v>72000</v>
      </c>
      <c r="H599" s="639">
        <v>120000</v>
      </c>
      <c r="I599" s="639">
        <f>2000*6*12</f>
        <v>144000</v>
      </c>
    </row>
    <row r="600" spans="1:9" ht="15.75">
      <c r="A600" s="410"/>
      <c r="B600" s="411"/>
      <c r="C600" s="411" t="s">
        <v>54</v>
      </c>
      <c r="D600" s="488"/>
      <c r="E600" s="434">
        <v>81000</v>
      </c>
      <c r="F600" s="637">
        <v>40500</v>
      </c>
      <c r="G600" s="434">
        <f t="shared" si="16"/>
        <v>40500</v>
      </c>
      <c r="H600" s="639">
        <v>81000</v>
      </c>
      <c r="I600" s="639">
        <v>81000</v>
      </c>
    </row>
    <row r="601" spans="1:9" ht="15.75">
      <c r="A601" s="410"/>
      <c r="B601" s="411"/>
      <c r="C601" s="411" t="s">
        <v>55</v>
      </c>
      <c r="D601" s="488"/>
      <c r="E601" s="434">
        <v>81000</v>
      </c>
      <c r="F601" s="637">
        <v>40500</v>
      </c>
      <c r="G601" s="434">
        <f t="shared" si="16"/>
        <v>40500</v>
      </c>
      <c r="H601" s="639">
        <v>81000</v>
      </c>
      <c r="I601" s="639">
        <v>81000</v>
      </c>
    </row>
    <row r="602" spans="1:9" ht="15.75">
      <c r="A602" s="410"/>
      <c r="B602" s="411"/>
      <c r="C602" s="411" t="s">
        <v>484</v>
      </c>
      <c r="D602" s="488"/>
      <c r="E602" s="434">
        <v>24000</v>
      </c>
      <c r="F602" s="637">
        <v>24000</v>
      </c>
      <c r="G602" s="434">
        <f t="shared" si="16"/>
        <v>6000</v>
      </c>
      <c r="H602" s="639">
        <f>6000*5</f>
        <v>30000</v>
      </c>
      <c r="I602" s="639">
        <f>6000*6</f>
        <v>36000</v>
      </c>
    </row>
    <row r="603" spans="1:9" ht="15.75">
      <c r="A603" s="410"/>
      <c r="B603" s="411"/>
      <c r="C603" s="411" t="s">
        <v>0</v>
      </c>
      <c r="D603" s="488"/>
      <c r="E603" s="434">
        <v>137354</v>
      </c>
      <c r="F603" s="637">
        <v>0</v>
      </c>
      <c r="G603" s="434">
        <f t="shared" si="16"/>
        <v>142164</v>
      </c>
      <c r="H603" s="639">
        <f>H606</f>
        <v>142164</v>
      </c>
      <c r="I603" s="639">
        <f>I606</f>
        <v>154614.25</v>
      </c>
    </row>
    <row r="604" spans="1:9" ht="15.75">
      <c r="A604" s="410"/>
      <c r="B604" s="411"/>
      <c r="C604" s="411" t="s">
        <v>59</v>
      </c>
      <c r="D604" s="488"/>
      <c r="E604" s="434">
        <v>25000</v>
      </c>
      <c r="F604" s="637">
        <v>0</v>
      </c>
      <c r="G604" s="434">
        <f t="shared" si="16"/>
        <v>25000</v>
      </c>
      <c r="H604" s="639">
        <f>5000*5</f>
        <v>25000</v>
      </c>
      <c r="I604" s="639">
        <f>5000*6</f>
        <v>30000</v>
      </c>
    </row>
    <row r="605" spans="1:9" ht="15.75">
      <c r="A605" s="410"/>
      <c r="B605" s="411"/>
      <c r="C605" s="411" t="str">
        <f>C23</f>
        <v>Performance Base Bonus</v>
      </c>
      <c r="D605" s="488"/>
      <c r="E605" s="434">
        <v>118038.7</v>
      </c>
      <c r="F605" s="637">
        <v>87319.44</v>
      </c>
      <c r="G605" s="434">
        <f t="shared" si="16"/>
        <v>50034.56</v>
      </c>
      <c r="H605" s="639">
        <v>137354</v>
      </c>
      <c r="I605" s="639">
        <f>I606</f>
        <v>154614.25</v>
      </c>
    </row>
    <row r="606" spans="1:9" ht="15.75">
      <c r="A606" s="410"/>
      <c r="B606" s="411"/>
      <c r="C606" s="411" t="str">
        <f>C24</f>
        <v>Mid Year</v>
      </c>
      <c r="D606" s="488"/>
      <c r="E606" s="434">
        <v>110379</v>
      </c>
      <c r="F606" s="637">
        <v>126409</v>
      </c>
      <c r="G606" s="434">
        <f t="shared" si="16"/>
        <v>15755</v>
      </c>
      <c r="H606" s="639">
        <f>H598/12</f>
        <v>142164</v>
      </c>
      <c r="I606" s="639">
        <f>I598/12</f>
        <v>154614.25</v>
      </c>
    </row>
    <row r="607" spans="1:9" ht="15.75">
      <c r="A607" s="410"/>
      <c r="B607" s="411"/>
      <c r="C607" s="411" t="s">
        <v>487</v>
      </c>
      <c r="D607" s="490"/>
      <c r="E607" s="434">
        <v>185951.1</v>
      </c>
      <c r="F607" s="637">
        <v>91014.48</v>
      </c>
      <c r="G607" s="434">
        <f t="shared" si="16"/>
        <v>113701.68000000001</v>
      </c>
      <c r="H607" s="639">
        <f>H598*12%</f>
        <v>204716.16</v>
      </c>
      <c r="I607" s="639">
        <f>I598*12%</f>
        <v>222644.52</v>
      </c>
    </row>
    <row r="608" spans="1:9" ht="15.75">
      <c r="A608" s="410"/>
      <c r="B608" s="411"/>
      <c r="C608" s="411" t="s">
        <v>61</v>
      </c>
      <c r="D608" s="490"/>
      <c r="E608" s="434">
        <v>11321.76</v>
      </c>
      <c r="F608" s="637">
        <v>2993.48</v>
      </c>
      <c r="G608" s="434">
        <f t="shared" si="16"/>
        <v>31125.88</v>
      </c>
      <c r="H608" s="639">
        <f>H598*2%</f>
        <v>34119.36</v>
      </c>
      <c r="I608" s="639">
        <f>100*6*12</f>
        <v>7200</v>
      </c>
    </row>
    <row r="609" spans="1:9" ht="15.75">
      <c r="A609" s="410"/>
      <c r="B609" s="411"/>
      <c r="C609" s="411" t="s">
        <v>62</v>
      </c>
      <c r="D609" s="490"/>
      <c r="E609" s="434">
        <v>18574.32</v>
      </c>
      <c r="F609" s="637">
        <v>9581.42</v>
      </c>
      <c r="G609" s="434">
        <f t="shared" si="16"/>
        <v>16008.1</v>
      </c>
      <c r="H609" s="639">
        <f>H598*1.5%</f>
        <v>25589.52</v>
      </c>
      <c r="I609" s="639">
        <f>I598*1.75%</f>
        <v>32468.992500000004</v>
      </c>
    </row>
    <row r="610" spans="1:9" ht="15.75">
      <c r="A610" s="410"/>
      <c r="B610" s="411"/>
      <c r="C610" s="411" t="s">
        <v>262</v>
      </c>
      <c r="D610" s="490"/>
      <c r="E610" s="434">
        <v>5400</v>
      </c>
      <c r="F610" s="637">
        <v>2400</v>
      </c>
      <c r="G610" s="434">
        <f t="shared" si="16"/>
        <v>3600</v>
      </c>
      <c r="H610" s="639">
        <f>500*12</f>
        <v>6000</v>
      </c>
      <c r="I610" s="639">
        <f>600*12</f>
        <v>7200</v>
      </c>
    </row>
    <row r="611" spans="1:9" ht="15.75">
      <c r="A611" s="410"/>
      <c r="B611" s="411"/>
      <c r="C611" s="411" t="s">
        <v>66</v>
      </c>
      <c r="D611" s="490"/>
      <c r="E611" s="434">
        <v>125000</v>
      </c>
      <c r="F611" s="637">
        <v>9993.62</v>
      </c>
      <c r="G611" s="434">
        <f t="shared" si="16"/>
        <v>292098.34</v>
      </c>
      <c r="H611" s="639">
        <v>302091.96</v>
      </c>
      <c r="I611" s="639">
        <f>6*20000</f>
        <v>120000</v>
      </c>
    </row>
    <row r="612" spans="1:9" ht="15.75">
      <c r="A612" s="410"/>
      <c r="B612" s="411"/>
      <c r="C612" s="411" t="str">
        <f>C31</f>
        <v>Productivity Enhancement Incentive</v>
      </c>
      <c r="D612" s="488"/>
      <c r="E612" s="434">
        <v>20000</v>
      </c>
      <c r="F612" s="637"/>
      <c r="G612" s="434">
        <f t="shared" si="16"/>
        <v>25000</v>
      </c>
      <c r="H612" s="639">
        <f>5000*5</f>
        <v>25000</v>
      </c>
      <c r="I612" s="639">
        <f>5000*6</f>
        <v>30000</v>
      </c>
    </row>
    <row r="613" spans="1:9" ht="15.75">
      <c r="A613" s="410"/>
      <c r="B613" s="411"/>
      <c r="C613" s="411" t="s">
        <v>294</v>
      </c>
      <c r="D613" s="490"/>
      <c r="E613" s="434">
        <v>68700.98</v>
      </c>
      <c r="F613" s="637"/>
      <c r="G613" s="434">
        <f t="shared" si="16"/>
        <v>0</v>
      </c>
      <c r="H613" s="639"/>
      <c r="I613" s="639">
        <v>384444.34</v>
      </c>
    </row>
    <row r="614" spans="1:9" ht="15.75">
      <c r="A614" s="410"/>
      <c r="B614" s="411"/>
      <c r="C614" s="411" t="s">
        <v>67</v>
      </c>
      <c r="D614" s="490"/>
      <c r="E614" s="436">
        <f>SUM(E598:E613)</f>
        <v>2779561.9099999997</v>
      </c>
      <c r="F614" s="636">
        <f>SUM(F598:F613)</f>
        <v>1241165.44</v>
      </c>
      <c r="G614" s="436">
        <f>SUM(G598:G613)</f>
        <v>1821001.56</v>
      </c>
      <c r="H614" s="436">
        <f>SUM(H598:H613)</f>
        <v>3062167</v>
      </c>
      <c r="I614" s="636">
        <f>SUM(I598:I613)</f>
        <v>3495171.6025</v>
      </c>
    </row>
    <row r="615" spans="1:9" ht="15.75">
      <c r="A615" s="410"/>
      <c r="B615" s="411"/>
      <c r="C615" s="411"/>
      <c r="D615" s="488"/>
      <c r="E615" s="413"/>
      <c r="F615" s="739"/>
      <c r="G615" s="434"/>
      <c r="H615" s="434"/>
      <c r="I615" s="637"/>
    </row>
    <row r="616" spans="1:9" ht="15.75">
      <c r="A616" s="410"/>
      <c r="B616" s="507">
        <v>1.2</v>
      </c>
      <c r="C616" s="411" t="s">
        <v>191</v>
      </c>
      <c r="D616" s="488"/>
      <c r="E616" s="413"/>
      <c r="F616" s="637"/>
      <c r="G616" s="434"/>
      <c r="H616" s="434"/>
      <c r="I616" s="637"/>
    </row>
    <row r="617" spans="1:9" ht="15.75">
      <c r="A617" s="410"/>
      <c r="B617" s="411"/>
      <c r="C617" s="411" t="s">
        <v>199</v>
      </c>
      <c r="D617" s="488"/>
      <c r="E617" s="413"/>
      <c r="F617" s="637"/>
      <c r="G617" s="434"/>
      <c r="H617" s="434"/>
      <c r="I617" s="638"/>
    </row>
    <row r="618" spans="1:9" ht="15.75">
      <c r="A618" s="410"/>
      <c r="B618" s="411"/>
      <c r="C618" s="411"/>
      <c r="D618" s="488"/>
      <c r="E618" s="413"/>
      <c r="F618" s="637"/>
      <c r="G618" s="434"/>
      <c r="H618" s="434"/>
      <c r="I618" s="638"/>
    </row>
    <row r="619" spans="1:9" ht="15.75">
      <c r="A619" s="410"/>
      <c r="B619" s="411"/>
      <c r="C619" s="411" t="s">
        <v>69</v>
      </c>
      <c r="D619" s="488"/>
      <c r="E619" s="438">
        <v>151692.2</v>
      </c>
      <c r="F619" s="802">
        <v>9100</v>
      </c>
      <c r="G619" s="434">
        <f aca="true" t="shared" si="17" ref="G619:G624">H619-F619</f>
        <v>140900</v>
      </c>
      <c r="H619" s="637">
        <v>150000</v>
      </c>
      <c r="I619" s="637">
        <f>50000+250000</f>
        <v>300000</v>
      </c>
    </row>
    <row r="620" spans="1:9" ht="15.75">
      <c r="A620" s="410"/>
      <c r="B620" s="411"/>
      <c r="C620" s="411" t="s">
        <v>176</v>
      </c>
      <c r="D620" s="488"/>
      <c r="E620" s="438">
        <v>87270</v>
      </c>
      <c r="F620" s="802">
        <v>8900</v>
      </c>
      <c r="G620" s="434">
        <f t="shared" si="17"/>
        <v>141100</v>
      </c>
      <c r="H620" s="637">
        <v>150000</v>
      </c>
      <c r="I620" s="637">
        <v>50000</v>
      </c>
    </row>
    <row r="621" spans="1:9" ht="15.75">
      <c r="A621" s="410"/>
      <c r="B621" s="411"/>
      <c r="C621" s="411" t="s">
        <v>70</v>
      </c>
      <c r="D621" s="490"/>
      <c r="E621" s="434">
        <v>125712.31</v>
      </c>
      <c r="F621" s="637">
        <v>63864.22</v>
      </c>
      <c r="G621" s="434">
        <f>H621-F621</f>
        <v>86135.78</v>
      </c>
      <c r="H621" s="637">
        <v>150000</v>
      </c>
      <c r="I621" s="637">
        <f>150000+250000</f>
        <v>400000</v>
      </c>
    </row>
    <row r="622" spans="1:9" ht="15.75">
      <c r="A622" s="410"/>
      <c r="B622" s="411"/>
      <c r="C622" s="411" t="s">
        <v>97</v>
      </c>
      <c r="D622" s="490"/>
      <c r="E622" s="434">
        <v>24000</v>
      </c>
      <c r="F622" s="637">
        <v>12000</v>
      </c>
      <c r="G622" s="434">
        <f>H622-F622</f>
        <v>12000</v>
      </c>
      <c r="H622" s="637">
        <v>24000</v>
      </c>
      <c r="I622" s="637">
        <v>24000</v>
      </c>
    </row>
    <row r="623" spans="1:9" ht="15.75">
      <c r="A623" s="410"/>
      <c r="B623" s="411"/>
      <c r="C623" s="411" t="s">
        <v>265</v>
      </c>
      <c r="D623" s="490"/>
      <c r="E623" s="434">
        <v>26190</v>
      </c>
      <c r="F623" s="637"/>
      <c r="G623" s="434">
        <f t="shared" si="17"/>
        <v>150000</v>
      </c>
      <c r="H623" s="637">
        <v>150000</v>
      </c>
      <c r="I623" s="637">
        <v>125000</v>
      </c>
    </row>
    <row r="624" spans="1:9" ht="15.75">
      <c r="A624" s="410"/>
      <c r="B624" s="411"/>
      <c r="C624" s="411" t="s">
        <v>413</v>
      </c>
      <c r="D624" s="490"/>
      <c r="E624" s="434">
        <v>150995</v>
      </c>
      <c r="F624" s="637"/>
      <c r="G624" s="434">
        <f t="shared" si="17"/>
        <v>150000</v>
      </c>
      <c r="H624" s="637">
        <v>150000</v>
      </c>
      <c r="I624" s="637">
        <f>50000</f>
        <v>50000</v>
      </c>
    </row>
    <row r="625" spans="1:9" ht="15.75">
      <c r="A625" s="410"/>
      <c r="B625" s="411"/>
      <c r="C625" s="411" t="s">
        <v>192</v>
      </c>
      <c r="D625" s="488"/>
      <c r="E625" s="1121">
        <f>SUM(E619:E624)</f>
        <v>565859.51</v>
      </c>
      <c r="F625" s="820"/>
      <c r="G625" s="1123">
        <f>SUM(G619:G624)</f>
        <v>680135.78</v>
      </c>
      <c r="H625" s="766"/>
      <c r="I625" s="1125">
        <f>SUM(I619:I624)</f>
        <v>949000</v>
      </c>
    </row>
    <row r="626" spans="1:9" ht="15.75">
      <c r="A626" s="410"/>
      <c r="B626" s="411"/>
      <c r="C626" s="411" t="s">
        <v>193</v>
      </c>
      <c r="D626" s="488"/>
      <c r="E626" s="1129"/>
      <c r="F626" s="821">
        <f>SUM(F619:F625)</f>
        <v>93864.22</v>
      </c>
      <c r="G626" s="1130"/>
      <c r="H626" s="768">
        <f>SUM(H619:H625)</f>
        <v>774000</v>
      </c>
      <c r="I626" s="1131"/>
    </row>
    <row r="627" spans="1:9" ht="15.75">
      <c r="A627" s="410"/>
      <c r="B627" s="411"/>
      <c r="C627" s="411"/>
      <c r="D627" s="490"/>
      <c r="E627" s="437"/>
      <c r="F627" s="822"/>
      <c r="G627" s="509"/>
      <c r="H627" s="509"/>
      <c r="I627" s="822"/>
    </row>
    <row r="628" spans="1:9" ht="15.75">
      <c r="A628" s="441">
        <v>2</v>
      </c>
      <c r="B628" s="411" t="s">
        <v>89</v>
      </c>
      <c r="C628" s="411"/>
      <c r="D628" s="490"/>
      <c r="E628" s="434"/>
      <c r="F628" s="642"/>
      <c r="G628" s="510"/>
      <c r="H628" s="510"/>
      <c r="I628" s="641"/>
    </row>
    <row r="629" spans="1:9" ht="15.75">
      <c r="A629" s="410"/>
      <c r="B629" s="411"/>
      <c r="C629" s="411" t="s">
        <v>194</v>
      </c>
      <c r="D629" s="490"/>
      <c r="E629" s="434">
        <v>27521.88</v>
      </c>
      <c r="F629" s="642"/>
      <c r="G629" s="510">
        <f>H629-F629</f>
        <v>100000</v>
      </c>
      <c r="H629" s="642">
        <v>100000</v>
      </c>
      <c r="I629" s="642">
        <v>0</v>
      </c>
    </row>
    <row r="630" spans="1:9" ht="15.75">
      <c r="A630" s="410"/>
      <c r="B630" s="411"/>
      <c r="C630" s="411" t="s">
        <v>205</v>
      </c>
      <c r="D630" s="490"/>
      <c r="E630" s="434">
        <v>62500</v>
      </c>
      <c r="F630" s="642">
        <v>30000</v>
      </c>
      <c r="G630" s="510">
        <f>H630-F630</f>
        <v>20000</v>
      </c>
      <c r="H630" s="642">
        <v>50000</v>
      </c>
      <c r="I630" s="642">
        <v>0</v>
      </c>
    </row>
    <row r="631" spans="1:9" ht="15.75">
      <c r="A631" s="410"/>
      <c r="B631" s="411"/>
      <c r="C631" s="411" t="s">
        <v>214</v>
      </c>
      <c r="D631" s="490"/>
      <c r="E631" s="494"/>
      <c r="F631" s="646"/>
      <c r="G631" s="496">
        <f>H631-F631</f>
        <v>100000</v>
      </c>
      <c r="H631" s="640">
        <v>100000</v>
      </c>
      <c r="I631" s="640">
        <v>0</v>
      </c>
    </row>
    <row r="632" spans="1:9" ht="15.75">
      <c r="A632" s="410"/>
      <c r="B632" s="411"/>
      <c r="C632" s="411" t="s">
        <v>94</v>
      </c>
      <c r="D632" s="500"/>
      <c r="E632" s="765">
        <f>SUM(E629:E631)</f>
        <v>90021.88</v>
      </c>
      <c r="F632" s="774">
        <f>SUM(F629:F631)</f>
        <v>30000</v>
      </c>
      <c r="G632" s="553">
        <f>SUM(G629:G631)</f>
        <v>220000</v>
      </c>
      <c r="H632" s="553">
        <f>SUM(H629:H631)</f>
        <v>250000</v>
      </c>
      <c r="I632" s="821">
        <f>SUM(I629:I631)</f>
        <v>0</v>
      </c>
    </row>
    <row r="633" spans="1:9" ht="15.75">
      <c r="A633" s="443" t="s">
        <v>215</v>
      </c>
      <c r="B633" s="444"/>
      <c r="C633" s="444"/>
      <c r="D633" s="445"/>
      <c r="E633" s="446">
        <f>+E632+E625+E614</f>
        <v>3435443.3</v>
      </c>
      <c r="F633" s="775">
        <f>F632+F626+F614</f>
        <v>1365029.66</v>
      </c>
      <c r="G633" s="442">
        <f>G632+G625+G614</f>
        <v>2721137.34</v>
      </c>
      <c r="H633" s="442">
        <f>H614+H626+H632</f>
        <v>4086167</v>
      </c>
      <c r="I633" s="775">
        <f>I614+I625+I632</f>
        <v>4444171.6025</v>
      </c>
    </row>
    <row r="634" spans="1:9" ht="12.75">
      <c r="A634" s="448"/>
      <c r="B634" s="449"/>
      <c r="C634" s="450"/>
      <c r="D634" s="501"/>
      <c r="E634" s="452"/>
      <c r="F634" s="805"/>
      <c r="G634" s="449"/>
      <c r="H634" s="453"/>
      <c r="I634" s="860"/>
    </row>
    <row r="635" spans="1:11" s="1" customFormat="1" ht="18">
      <c r="A635" s="460" t="s">
        <v>196</v>
      </c>
      <c r="B635" s="461"/>
      <c r="C635" s="456"/>
      <c r="D635" s="463"/>
      <c r="E635" s="464" t="s">
        <v>197</v>
      </c>
      <c r="F635" s="16"/>
      <c r="G635" s="554"/>
      <c r="H635" s="465" t="s">
        <v>198</v>
      </c>
      <c r="I635" s="862"/>
      <c r="J635" s="780"/>
      <c r="K635" s="780"/>
    </row>
    <row r="636" spans="1:9" ht="18">
      <c r="A636" s="460"/>
      <c r="B636" s="465"/>
      <c r="C636" s="456"/>
      <c r="D636" s="463"/>
      <c r="E636" s="467"/>
      <c r="F636" s="16"/>
      <c r="G636" s="465"/>
      <c r="H636" s="465"/>
      <c r="I636" s="862"/>
    </row>
    <row r="637" spans="1:9" ht="18">
      <c r="A637" s="460"/>
      <c r="B637" s="465"/>
      <c r="C637" s="465"/>
      <c r="D637" s="463"/>
      <c r="E637" s="511"/>
      <c r="F637" s="16"/>
      <c r="G637" s="465"/>
      <c r="H637" s="465"/>
      <c r="I637" s="249"/>
    </row>
    <row r="638" spans="1:9" ht="18">
      <c r="A638" s="460"/>
      <c r="B638" s="465"/>
      <c r="C638" s="465"/>
      <c r="D638" s="463"/>
      <c r="E638" s="467"/>
      <c r="F638" s="16"/>
      <c r="G638" s="465"/>
      <c r="H638" s="465"/>
      <c r="I638" s="249"/>
    </row>
    <row r="639" spans="1:11" s="1" customFormat="1" ht="18">
      <c r="A639" s="460" t="s">
        <v>685</v>
      </c>
      <c r="B639" s="465"/>
      <c r="C639" s="465"/>
      <c r="D639" s="463"/>
      <c r="E639" s="464" t="str">
        <f>A639</f>
        <v>JANE B. LARIOSA</v>
      </c>
      <c r="F639" s="16"/>
      <c r="G639" s="1091" t="str">
        <f>G116</f>
        <v>WILLIAM E. CALVEZ, CE</v>
      </c>
      <c r="H639" s="1091"/>
      <c r="I639" s="1092"/>
      <c r="J639" s="780"/>
      <c r="K639" s="780"/>
    </row>
    <row r="640" spans="1:9" ht="18">
      <c r="A640" s="555" t="s">
        <v>686</v>
      </c>
      <c r="B640" s="433"/>
      <c r="C640" s="433"/>
      <c r="D640" s="504"/>
      <c r="E640" s="505" t="str">
        <f>A640</f>
        <v>AO II/OIC MBO</v>
      </c>
      <c r="F640" s="16"/>
      <c r="G640" s="1104" t="s">
        <v>155</v>
      </c>
      <c r="H640" s="1104"/>
      <c r="I640" s="1105"/>
    </row>
    <row r="641" spans="1:9" ht="18">
      <c r="A641" s="472"/>
      <c r="B641" s="473"/>
      <c r="C641" s="473"/>
      <c r="D641" s="474"/>
      <c r="E641" s="475"/>
      <c r="F641" s="810"/>
      <c r="G641" s="473"/>
      <c r="H641" s="473"/>
      <c r="I641" s="863"/>
    </row>
    <row r="642" ht="12.75">
      <c r="B642" s="476"/>
    </row>
    <row r="643" ht="12.75">
      <c r="B643" s="476"/>
    </row>
    <row r="644" ht="12.75">
      <c r="B644" s="476"/>
    </row>
    <row r="645" ht="12.75">
      <c r="B645" s="476"/>
    </row>
    <row r="646" ht="12.75">
      <c r="B646" s="476"/>
    </row>
    <row r="647" ht="12.75">
      <c r="B647" s="476"/>
    </row>
    <row r="648" ht="12.75">
      <c r="B648" s="476"/>
    </row>
    <row r="649" ht="12.75">
      <c r="B649" s="476"/>
    </row>
    <row r="650" ht="12.75">
      <c r="B650" s="476"/>
    </row>
    <row r="651" ht="12.75">
      <c r="B651" s="476"/>
    </row>
    <row r="652" ht="12.75">
      <c r="B652" s="476"/>
    </row>
    <row r="653" ht="12.75">
      <c r="B653" s="476"/>
    </row>
    <row r="654" ht="12.75">
      <c r="B654" s="476"/>
    </row>
    <row r="655" ht="12.75">
      <c r="B655" s="476"/>
    </row>
    <row r="656" ht="12.75">
      <c r="B656" s="476"/>
    </row>
    <row r="657" ht="12.75">
      <c r="B657" s="476"/>
    </row>
    <row r="658" ht="12.75">
      <c r="B658" s="476"/>
    </row>
    <row r="659" ht="12.75">
      <c r="B659" s="476"/>
    </row>
    <row r="660" spans="1:9" ht="15.75">
      <c r="A660" s="480" t="str">
        <f>A3</f>
        <v>LBP Form No. 2</v>
      </c>
      <c r="B660" s="407"/>
      <c r="C660" s="407"/>
      <c r="D660" s="408"/>
      <c r="E660" s="409"/>
      <c r="F660" s="797"/>
      <c r="G660" s="407"/>
      <c r="H660" s="407"/>
      <c r="I660" s="854"/>
    </row>
    <row r="661" spans="1:9" ht="15.75">
      <c r="A661" s="410"/>
      <c r="B661" s="411"/>
      <c r="C661" s="411"/>
      <c r="D661" s="412"/>
      <c r="E661" s="413"/>
      <c r="F661" s="11"/>
      <c r="G661" s="411"/>
      <c r="H661" s="411"/>
      <c r="I661" s="855"/>
    </row>
    <row r="662" spans="1:9" ht="15.75">
      <c r="A662" s="1106" t="str">
        <f>A5</f>
        <v>PROGRAMMED APPROPRIATION AND OBLIGATION BY OBJECT OF EXPENDITURE</v>
      </c>
      <c r="B662" s="1107"/>
      <c r="C662" s="1107"/>
      <c r="D662" s="1107"/>
      <c r="E662" s="1107"/>
      <c r="F662" s="1107"/>
      <c r="G662" s="1107"/>
      <c r="H662" s="1107"/>
      <c r="I662" s="1108"/>
    </row>
    <row r="663" spans="1:9" ht="15.75">
      <c r="A663" s="1109" t="str">
        <f>A6</f>
        <v>Municipality of Trento</v>
      </c>
      <c r="B663" s="1110"/>
      <c r="C663" s="1110"/>
      <c r="D663" s="1110"/>
      <c r="E663" s="1110"/>
      <c r="F663" s="1110"/>
      <c r="G663" s="1110"/>
      <c r="H663" s="1110"/>
      <c r="I663" s="1111"/>
    </row>
    <row r="664" spans="1:9" ht="15.75">
      <c r="A664" s="414" t="s">
        <v>472</v>
      </c>
      <c r="B664" s="411"/>
      <c r="C664" s="411"/>
      <c r="D664" s="412"/>
      <c r="E664" s="413"/>
      <c r="F664" s="11"/>
      <c r="G664" s="411"/>
      <c r="H664" s="411"/>
      <c r="I664" s="855"/>
    </row>
    <row r="665" spans="1:9" ht="15.75">
      <c r="A665" s="410"/>
      <c r="B665" s="411"/>
      <c r="C665" s="411"/>
      <c r="D665" s="412"/>
      <c r="E665" s="413"/>
      <c r="F665" s="11"/>
      <c r="G665" s="411"/>
      <c r="H665" s="411"/>
      <c r="I665" s="855"/>
    </row>
    <row r="666" spans="1:11" s="6" customFormat="1" ht="15.75">
      <c r="A666" s="1112" t="s">
        <v>181</v>
      </c>
      <c r="B666" s="1113"/>
      <c r="C666" s="1114"/>
      <c r="D666" s="530"/>
      <c r="E666" s="416" t="s">
        <v>7</v>
      </c>
      <c r="F666" s="1115" t="str">
        <f>F9</f>
        <v>Current Year 2020 (Estimate)</v>
      </c>
      <c r="G666" s="1116"/>
      <c r="H666" s="1117"/>
      <c r="I666" s="856" t="s">
        <v>10</v>
      </c>
      <c r="J666" s="778"/>
      <c r="K666" s="778"/>
    </row>
    <row r="667" spans="1:11" s="6" customFormat="1" ht="15.75">
      <c r="A667" s="1109"/>
      <c r="B667" s="1110"/>
      <c r="C667" s="1111"/>
      <c r="D667" s="417" t="s">
        <v>5</v>
      </c>
      <c r="E667" s="486" t="str">
        <f>E10</f>
        <v>2019</v>
      </c>
      <c r="F667" s="813" t="s">
        <v>8</v>
      </c>
      <c r="G667" s="485" t="s">
        <v>9</v>
      </c>
      <c r="H667" s="1118" t="s">
        <v>1</v>
      </c>
      <c r="I667" s="813">
        <f>I10</f>
        <v>2021</v>
      </c>
      <c r="J667" s="778"/>
      <c r="K667" s="778"/>
    </row>
    <row r="668" spans="1:11" s="6" customFormat="1" ht="15.75">
      <c r="A668" s="1109"/>
      <c r="B668" s="1110"/>
      <c r="C668" s="1111"/>
      <c r="D668" s="417" t="s">
        <v>12</v>
      </c>
      <c r="E668" s="486" t="s">
        <v>14</v>
      </c>
      <c r="F668" s="813" t="s">
        <v>14</v>
      </c>
      <c r="G668" s="485" t="s">
        <v>15</v>
      </c>
      <c r="H668" s="1119"/>
      <c r="I668" s="813" t="s">
        <v>182</v>
      </c>
      <c r="J668" s="778"/>
      <c r="K668" s="778"/>
    </row>
    <row r="669" spans="1:11" s="6" customFormat="1" ht="12.75">
      <c r="A669" s="1095" t="s">
        <v>183</v>
      </c>
      <c r="B669" s="1096"/>
      <c r="C669" s="1097"/>
      <c r="D669" s="422" t="s">
        <v>184</v>
      </c>
      <c r="E669" s="423" t="s">
        <v>185</v>
      </c>
      <c r="F669" s="832" t="s">
        <v>186</v>
      </c>
      <c r="G669" s="556" t="s">
        <v>187</v>
      </c>
      <c r="H669" s="556" t="s">
        <v>188</v>
      </c>
      <c r="I669" s="832" t="s">
        <v>189</v>
      </c>
      <c r="J669" s="778"/>
      <c r="K669" s="778"/>
    </row>
    <row r="670" spans="1:9" ht="15.75">
      <c r="A670" s="410"/>
      <c r="B670" s="411"/>
      <c r="C670" s="411"/>
      <c r="D670" s="506"/>
      <c r="E670" s="434"/>
      <c r="F670" s="815"/>
      <c r="G670" s="410"/>
      <c r="H670" s="410"/>
      <c r="I670" s="867"/>
    </row>
    <row r="671" spans="1:9" ht="15.75">
      <c r="A671" s="441">
        <v>1</v>
      </c>
      <c r="B671" s="430" t="s">
        <v>190</v>
      </c>
      <c r="C671" s="411"/>
      <c r="D671" s="488"/>
      <c r="E671" s="434"/>
      <c r="F671" s="815"/>
      <c r="G671" s="410"/>
      <c r="H671" s="410"/>
      <c r="I671" s="639"/>
    </row>
    <row r="672" spans="1:9" ht="15.75">
      <c r="A672" s="410"/>
      <c r="B672" s="507">
        <v>1.1</v>
      </c>
      <c r="C672" s="411" t="s">
        <v>159</v>
      </c>
      <c r="D672" s="488"/>
      <c r="E672" s="434"/>
      <c r="F672" s="815"/>
      <c r="G672" s="410"/>
      <c r="H672" s="410"/>
      <c r="I672" s="639"/>
    </row>
    <row r="673" spans="1:9" ht="15.75">
      <c r="A673" s="410"/>
      <c r="B673" s="411"/>
      <c r="C673" s="411" t="s">
        <v>52</v>
      </c>
      <c r="D673" s="488"/>
      <c r="E673" s="434">
        <v>2974120</v>
      </c>
      <c r="F673" s="637">
        <v>1441677.72</v>
      </c>
      <c r="G673" s="434">
        <f aca="true" t="shared" si="18" ref="G673:G689">H673-F673</f>
        <v>1729258.28</v>
      </c>
      <c r="H673" s="639">
        <v>3170936</v>
      </c>
      <c r="I673" s="639">
        <v>2808872</v>
      </c>
    </row>
    <row r="674" spans="1:9" ht="15.75">
      <c r="A674" s="410"/>
      <c r="B674" s="411"/>
      <c r="C674" s="411" t="s">
        <v>53</v>
      </c>
      <c r="D674" s="488"/>
      <c r="E674" s="434">
        <v>240000</v>
      </c>
      <c r="F674" s="637">
        <v>119991.2</v>
      </c>
      <c r="G674" s="434">
        <f t="shared" si="18"/>
        <v>144008.8</v>
      </c>
      <c r="H674" s="639">
        <f>2000*11*12</f>
        <v>264000</v>
      </c>
      <c r="I674" s="639">
        <f>2000*10*12</f>
        <v>240000</v>
      </c>
    </row>
    <row r="675" spans="1:9" ht="15.75">
      <c r="A675" s="410"/>
      <c r="B675" s="411"/>
      <c r="C675" s="411" t="s">
        <v>54</v>
      </c>
      <c r="D675" s="488"/>
      <c r="E675" s="434">
        <v>81000</v>
      </c>
      <c r="F675" s="637">
        <v>40500</v>
      </c>
      <c r="G675" s="434">
        <f t="shared" si="18"/>
        <v>40500</v>
      </c>
      <c r="H675" s="639">
        <v>81000</v>
      </c>
      <c r="I675" s="639">
        <v>81000</v>
      </c>
    </row>
    <row r="676" spans="1:9" ht="15.75">
      <c r="A676" s="410"/>
      <c r="B676" s="411"/>
      <c r="C676" s="411" t="s">
        <v>55</v>
      </c>
      <c r="D676" s="488"/>
      <c r="E676" s="434">
        <v>81000</v>
      </c>
      <c r="F676" s="637">
        <v>40500</v>
      </c>
      <c r="G676" s="434">
        <f t="shared" si="18"/>
        <v>40500</v>
      </c>
      <c r="H676" s="639">
        <v>81000</v>
      </c>
      <c r="I676" s="639">
        <v>81000</v>
      </c>
    </row>
    <row r="677" spans="1:9" ht="15.75">
      <c r="A677" s="410"/>
      <c r="B677" s="411"/>
      <c r="C677" s="411" t="s">
        <v>484</v>
      </c>
      <c r="D677" s="488"/>
      <c r="E677" s="434">
        <v>60000</v>
      </c>
      <c r="F677" s="637">
        <v>60000</v>
      </c>
      <c r="G677" s="434">
        <f t="shared" si="18"/>
        <v>6000</v>
      </c>
      <c r="H677" s="639">
        <f>6000*11</f>
        <v>66000</v>
      </c>
      <c r="I677" s="639">
        <f>6000*10</f>
        <v>60000</v>
      </c>
    </row>
    <row r="678" spans="1:9" ht="15.75">
      <c r="A678" s="410"/>
      <c r="B678" s="411"/>
      <c r="C678" s="411" t="s">
        <v>0</v>
      </c>
      <c r="D678" s="488"/>
      <c r="E678" s="434">
        <v>239236</v>
      </c>
      <c r="F678" s="637">
        <v>0</v>
      </c>
      <c r="G678" s="434">
        <f t="shared" si="18"/>
        <v>264244.67</v>
      </c>
      <c r="H678" s="639">
        <v>264244.67</v>
      </c>
      <c r="I678" s="639">
        <f>I681</f>
        <v>234072.67</v>
      </c>
    </row>
    <row r="679" spans="1:9" ht="15.75">
      <c r="A679" s="410"/>
      <c r="B679" s="411"/>
      <c r="C679" s="411" t="s">
        <v>59</v>
      </c>
      <c r="D679" s="488"/>
      <c r="E679" s="434">
        <v>50000</v>
      </c>
      <c r="F679" s="637">
        <v>0</v>
      </c>
      <c r="G679" s="434">
        <f t="shared" si="18"/>
        <v>55000</v>
      </c>
      <c r="H679" s="639">
        <f>5000*11</f>
        <v>55000</v>
      </c>
      <c r="I679" s="639">
        <f>5000*10</f>
        <v>50000</v>
      </c>
    </row>
    <row r="680" spans="1:9" ht="15.75">
      <c r="A680" s="410"/>
      <c r="B680" s="411"/>
      <c r="C680" s="411" t="str">
        <f>C23</f>
        <v>Performance Base Bonus</v>
      </c>
      <c r="D680" s="488"/>
      <c r="E680" s="434">
        <v>257040.55</v>
      </c>
      <c r="F680" s="637">
        <v>156963.3</v>
      </c>
      <c r="G680" s="434">
        <f t="shared" si="18"/>
        <v>97370.70000000001</v>
      </c>
      <c r="H680" s="639">
        <f>3052008/12</f>
        <v>254334</v>
      </c>
      <c r="I680" s="639">
        <v>234072.67</v>
      </c>
    </row>
    <row r="681" spans="1:9" ht="15.75">
      <c r="A681" s="410"/>
      <c r="B681" s="411"/>
      <c r="C681" s="411" t="str">
        <f>C24</f>
        <v>Mid Year</v>
      </c>
      <c r="D681" s="488"/>
      <c r="E681" s="434">
        <v>239236</v>
      </c>
      <c r="F681" s="637">
        <v>165619</v>
      </c>
      <c r="G681" s="434">
        <f t="shared" si="18"/>
        <v>98625.66999999998</v>
      </c>
      <c r="H681" s="639">
        <v>264244.67</v>
      </c>
      <c r="I681" s="639">
        <f>I680</f>
        <v>234072.67</v>
      </c>
    </row>
    <row r="682" spans="1:9" ht="15.75">
      <c r="A682" s="410"/>
      <c r="B682" s="411"/>
      <c r="C682" s="411" t="s">
        <v>485</v>
      </c>
      <c r="D682" s="490"/>
      <c r="E682" s="434">
        <v>342812.85</v>
      </c>
      <c r="F682" s="637">
        <v>169732.63</v>
      </c>
      <c r="G682" s="434">
        <f t="shared" si="18"/>
        <v>210779.69</v>
      </c>
      <c r="H682" s="639">
        <f>H673*12%</f>
        <v>380512.32</v>
      </c>
      <c r="I682" s="639">
        <f>I673*12%</f>
        <v>337064.64</v>
      </c>
    </row>
    <row r="683" spans="1:9" ht="15.75">
      <c r="A683" s="410"/>
      <c r="B683" s="411"/>
      <c r="C683" s="411" t="s">
        <v>61</v>
      </c>
      <c r="D683" s="490"/>
      <c r="E683" s="434">
        <v>31210.32</v>
      </c>
      <c r="F683" s="637">
        <v>7600.86</v>
      </c>
      <c r="G683" s="434">
        <f t="shared" si="18"/>
        <v>55817.86</v>
      </c>
      <c r="H683" s="639">
        <f>H673*2%</f>
        <v>63418.72</v>
      </c>
      <c r="I683" s="639">
        <f>100*10*12</f>
        <v>12000</v>
      </c>
    </row>
    <row r="684" spans="1:9" ht="15.75">
      <c r="A684" s="410"/>
      <c r="B684" s="411"/>
      <c r="C684" s="411" t="s">
        <v>62</v>
      </c>
      <c r="D684" s="490"/>
      <c r="E684" s="434">
        <v>32063.01</v>
      </c>
      <c r="F684" s="637">
        <v>19329.97</v>
      </c>
      <c r="G684" s="434">
        <f t="shared" si="18"/>
        <v>28234.07</v>
      </c>
      <c r="H684" s="639">
        <f>H673*1.5%</f>
        <v>47564.04</v>
      </c>
      <c r="I684" s="639">
        <f>I673*1.75%</f>
        <v>49155.26</v>
      </c>
    </row>
    <row r="685" spans="1:9" ht="15.75">
      <c r="A685" s="410"/>
      <c r="B685" s="411"/>
      <c r="C685" s="411" t="s">
        <v>262</v>
      </c>
      <c r="D685" s="490"/>
      <c r="E685" s="434">
        <v>12000</v>
      </c>
      <c r="F685" s="637">
        <v>6000</v>
      </c>
      <c r="G685" s="434">
        <f t="shared" si="18"/>
        <v>7200</v>
      </c>
      <c r="H685" s="639">
        <f>1100*12</f>
        <v>13200</v>
      </c>
      <c r="I685" s="639">
        <f>1000*12</f>
        <v>12000</v>
      </c>
    </row>
    <row r="686" spans="1:9" ht="15.75">
      <c r="A686" s="410"/>
      <c r="B686" s="411"/>
      <c r="C686" s="411" t="s">
        <v>64</v>
      </c>
      <c r="D686" s="490"/>
      <c r="E686" s="434"/>
      <c r="F686" s="637">
        <v>103319.17</v>
      </c>
      <c r="G686" s="434">
        <f t="shared" si="18"/>
        <v>148039.43</v>
      </c>
      <c r="H686" s="639">
        <v>251358.6</v>
      </c>
      <c r="I686" s="639">
        <v>68234.89</v>
      </c>
    </row>
    <row r="687" spans="1:9" ht="15.75">
      <c r="A687" s="410"/>
      <c r="B687" s="411"/>
      <c r="C687" s="411" t="s">
        <v>66</v>
      </c>
      <c r="D687" s="490"/>
      <c r="E687" s="434">
        <v>250000</v>
      </c>
      <c r="F687" s="637">
        <v>5000</v>
      </c>
      <c r="G687" s="434">
        <f t="shared" si="18"/>
        <v>466078.98</v>
      </c>
      <c r="H687" s="639">
        <v>471078.98</v>
      </c>
      <c r="I687" s="639">
        <f>20000*10</f>
        <v>200000</v>
      </c>
    </row>
    <row r="688" spans="1:9" ht="15.75">
      <c r="A688" s="410"/>
      <c r="B688" s="411"/>
      <c r="C688" s="411" t="str">
        <f>C31</f>
        <v>Productivity Enhancement Incentive</v>
      </c>
      <c r="D688" s="488"/>
      <c r="E688" s="434">
        <v>50000</v>
      </c>
      <c r="F688" s="637">
        <v>0</v>
      </c>
      <c r="G688" s="434">
        <f t="shared" si="18"/>
        <v>55000</v>
      </c>
      <c r="H688" s="639">
        <f>5000*11</f>
        <v>55000</v>
      </c>
      <c r="I688" s="639">
        <f>5000*10</f>
        <v>50000</v>
      </c>
    </row>
    <row r="689" spans="1:9" ht="15.75">
      <c r="A689" s="410"/>
      <c r="B689" s="411"/>
      <c r="C689" s="411" t="s">
        <v>294</v>
      </c>
      <c r="D689" s="490"/>
      <c r="E689" s="434">
        <v>120000</v>
      </c>
      <c r="F689" s="637"/>
      <c r="G689" s="434">
        <f t="shared" si="18"/>
        <v>0</v>
      </c>
      <c r="H689" s="639"/>
      <c r="I689" s="639">
        <v>592579.05</v>
      </c>
    </row>
    <row r="690" spans="1:9" ht="15.75">
      <c r="A690" s="410"/>
      <c r="B690" s="411"/>
      <c r="C690" s="411" t="s">
        <v>67</v>
      </c>
      <c r="D690" s="490"/>
      <c r="E690" s="436">
        <f>SUM(E673:E689)</f>
        <v>5059718.7299999995</v>
      </c>
      <c r="F690" s="636">
        <f>SUM(F673:F689)</f>
        <v>2336233.85</v>
      </c>
      <c r="G690" s="436">
        <f>SUM(G673:G689)</f>
        <v>3446658.15</v>
      </c>
      <c r="H690" s="436">
        <f>SUM(H673:H689)</f>
        <v>5782892</v>
      </c>
      <c r="I690" s="636">
        <f>SUM(I673:I689)</f>
        <v>5344123.849999999</v>
      </c>
    </row>
    <row r="691" spans="1:9" ht="15.75">
      <c r="A691" s="410"/>
      <c r="B691" s="411"/>
      <c r="C691" s="411"/>
      <c r="D691" s="488"/>
      <c r="E691" s="413"/>
      <c r="F691" s="739"/>
      <c r="G691" s="434"/>
      <c r="H691" s="434"/>
      <c r="I691" s="637"/>
    </row>
    <row r="692" spans="1:9" ht="15.75">
      <c r="A692" s="410"/>
      <c r="B692" s="507">
        <v>1.2</v>
      </c>
      <c r="C692" s="411" t="s">
        <v>191</v>
      </c>
      <c r="D692" s="488"/>
      <c r="E692" s="413"/>
      <c r="F692" s="637"/>
      <c r="G692" s="434"/>
      <c r="H692" s="434"/>
      <c r="I692" s="637"/>
    </row>
    <row r="693" spans="1:9" ht="15.75">
      <c r="A693" s="410"/>
      <c r="B693" s="411"/>
      <c r="C693" s="411" t="s">
        <v>199</v>
      </c>
      <c r="D693" s="488"/>
      <c r="E693" s="413"/>
      <c r="F693" s="637"/>
      <c r="G693" s="434"/>
      <c r="H693" s="434"/>
      <c r="I693" s="637"/>
    </row>
    <row r="694" spans="1:9" ht="15.75">
      <c r="A694" s="410"/>
      <c r="B694" s="411"/>
      <c r="C694" s="411" t="s">
        <v>69</v>
      </c>
      <c r="D694" s="488"/>
      <c r="E694" s="438">
        <v>268658.8</v>
      </c>
      <c r="F694" s="802">
        <v>13983</v>
      </c>
      <c r="G694" s="434">
        <f>H694-F694</f>
        <v>186017</v>
      </c>
      <c r="H694" s="637">
        <v>200000</v>
      </c>
      <c r="I694" s="637">
        <f>50000+250000</f>
        <v>300000</v>
      </c>
    </row>
    <row r="695" spans="1:9" ht="15.75">
      <c r="A695" s="410"/>
      <c r="B695" s="411"/>
      <c r="C695" s="411" t="s">
        <v>176</v>
      </c>
      <c r="D695" s="488"/>
      <c r="E695" s="438">
        <v>12420</v>
      </c>
      <c r="F695" s="802">
        <v>0</v>
      </c>
      <c r="G695" s="434">
        <f aca="true" t="shared" si="19" ref="G695:G701">H695-F695</f>
        <v>50000</v>
      </c>
      <c r="H695" s="637">
        <v>50000</v>
      </c>
      <c r="I695" s="637">
        <v>20000</v>
      </c>
    </row>
    <row r="696" spans="1:9" ht="15.75">
      <c r="A696" s="410"/>
      <c r="B696" s="411"/>
      <c r="C696" s="411" t="s">
        <v>70</v>
      </c>
      <c r="D696" s="490"/>
      <c r="E696" s="434">
        <v>240911.85</v>
      </c>
      <c r="F696" s="637">
        <v>135715</v>
      </c>
      <c r="G696" s="434">
        <f>H696-F696</f>
        <v>251285</v>
      </c>
      <c r="H696" s="637">
        <v>387000</v>
      </c>
      <c r="I696" s="637">
        <f>225000+250000</f>
        <v>475000</v>
      </c>
    </row>
    <row r="697" spans="1:9" ht="15.75">
      <c r="A697" s="410"/>
      <c r="B697" s="411"/>
      <c r="C697" s="411" t="s">
        <v>74</v>
      </c>
      <c r="D697" s="488"/>
      <c r="E697" s="438"/>
      <c r="F697" s="802">
        <v>0</v>
      </c>
      <c r="G697" s="434">
        <f>H697-F697</f>
        <v>100000</v>
      </c>
      <c r="H697" s="637">
        <v>100000</v>
      </c>
      <c r="I697" s="637"/>
    </row>
    <row r="698" spans="1:9" ht="15.75">
      <c r="A698" s="410"/>
      <c r="B698" s="411"/>
      <c r="C698" s="493" t="s">
        <v>411</v>
      </c>
      <c r="D698" s="490"/>
      <c r="E698" s="438"/>
      <c r="F698" s="802">
        <v>0</v>
      </c>
      <c r="G698" s="434">
        <f t="shared" si="19"/>
        <v>2000</v>
      </c>
      <c r="H698" s="637">
        <v>2000</v>
      </c>
      <c r="I698" s="637">
        <v>2000</v>
      </c>
    </row>
    <row r="699" spans="1:9" ht="15.75">
      <c r="A699" s="410"/>
      <c r="B699" s="411"/>
      <c r="C699" s="411" t="s">
        <v>97</v>
      </c>
      <c r="D699" s="490"/>
      <c r="E699" s="434">
        <v>26000</v>
      </c>
      <c r="F699" s="637">
        <v>12000</v>
      </c>
      <c r="G699" s="434">
        <f t="shared" si="19"/>
        <v>12000</v>
      </c>
      <c r="H699" s="637">
        <v>24000</v>
      </c>
      <c r="I699" s="637">
        <v>24000</v>
      </c>
    </row>
    <row r="700" spans="1:9" ht="15.75">
      <c r="A700" s="410"/>
      <c r="B700" s="411"/>
      <c r="C700" s="411" t="s">
        <v>265</v>
      </c>
      <c r="D700" s="490"/>
      <c r="E700" s="434">
        <v>22385</v>
      </c>
      <c r="F700" s="637">
        <v>13429</v>
      </c>
      <c r="G700" s="434">
        <f t="shared" si="19"/>
        <v>11571</v>
      </c>
      <c r="H700" s="637">
        <v>25000</v>
      </c>
      <c r="I700" s="637"/>
    </row>
    <row r="701" spans="1:9" ht="15.75">
      <c r="A701" s="410"/>
      <c r="B701" s="411"/>
      <c r="C701" s="411" t="s">
        <v>629</v>
      </c>
      <c r="D701" s="490"/>
      <c r="E701" s="434"/>
      <c r="F701" s="637">
        <v>0</v>
      </c>
      <c r="G701" s="434">
        <f t="shared" si="19"/>
        <v>10000</v>
      </c>
      <c r="H701" s="637">
        <v>10000</v>
      </c>
      <c r="I701" s="637">
        <v>10000</v>
      </c>
    </row>
    <row r="702" spans="1:9" ht="15.75">
      <c r="A702" s="410"/>
      <c r="B702" s="411"/>
      <c r="C702" s="411" t="s">
        <v>628</v>
      </c>
      <c r="D702" s="490"/>
      <c r="E702" s="434"/>
      <c r="F702" s="637"/>
      <c r="G702" s="434"/>
      <c r="H702" s="637"/>
      <c r="I702" s="637">
        <v>75000</v>
      </c>
    </row>
    <row r="703" spans="1:9" ht="15.75">
      <c r="A703" s="410"/>
      <c r="B703" s="411"/>
      <c r="C703" s="411" t="s">
        <v>491</v>
      </c>
      <c r="D703" s="490"/>
      <c r="E703" s="434"/>
      <c r="F703" s="637"/>
      <c r="G703" s="434"/>
      <c r="H703" s="637"/>
      <c r="I703" s="637">
        <v>25000</v>
      </c>
    </row>
    <row r="704" spans="1:9" ht="15.75">
      <c r="A704" s="410"/>
      <c r="B704" s="411"/>
      <c r="C704" s="411" t="s">
        <v>192</v>
      </c>
      <c r="D704" s="488"/>
      <c r="E704" s="1121">
        <f>SUM(E694:E701)</f>
        <v>570375.65</v>
      </c>
      <c r="F704" s="820"/>
      <c r="G704" s="1123">
        <f>SUM(G694:G701)</f>
        <v>622873</v>
      </c>
      <c r="H704" s="766"/>
      <c r="I704" s="1125">
        <f>SUM(I694:I703)</f>
        <v>931000</v>
      </c>
    </row>
    <row r="705" spans="1:9" ht="15.75">
      <c r="A705" s="410"/>
      <c r="B705" s="411"/>
      <c r="C705" s="411" t="s">
        <v>193</v>
      </c>
      <c r="D705" s="488"/>
      <c r="E705" s="1129"/>
      <c r="F705" s="821">
        <f>SUM(F694:F704)</f>
        <v>175127</v>
      </c>
      <c r="G705" s="1130"/>
      <c r="H705" s="768">
        <f>SUM(H694:H704)</f>
        <v>798000</v>
      </c>
      <c r="I705" s="1131"/>
    </row>
    <row r="706" spans="1:9" ht="15.75">
      <c r="A706" s="410"/>
      <c r="B706" s="411"/>
      <c r="C706" s="411"/>
      <c r="D706" s="490"/>
      <c r="E706" s="437"/>
      <c r="F706" s="822"/>
      <c r="G706" s="509"/>
      <c r="H706" s="509"/>
      <c r="I706" s="822"/>
    </row>
    <row r="707" spans="1:9" ht="15.75">
      <c r="A707" s="441">
        <v>2</v>
      </c>
      <c r="B707" s="411" t="s">
        <v>89</v>
      </c>
      <c r="C707" s="411"/>
      <c r="D707" s="490"/>
      <c r="E707" s="434"/>
      <c r="F707" s="642"/>
      <c r="G707" s="510"/>
      <c r="H707" s="510"/>
      <c r="I707" s="641"/>
    </row>
    <row r="708" spans="1:9" ht="15.75">
      <c r="A708" s="410"/>
      <c r="B708" s="411"/>
      <c r="C708" s="411" t="s">
        <v>194</v>
      </c>
      <c r="D708" s="490"/>
      <c r="E708" s="434"/>
      <c r="F708" s="642"/>
      <c r="G708" s="510">
        <f>H708-F708</f>
        <v>90000</v>
      </c>
      <c r="H708" s="642">
        <v>90000</v>
      </c>
      <c r="I708" s="642"/>
    </row>
    <row r="709" spans="1:9" ht="15.75">
      <c r="A709" s="410"/>
      <c r="B709" s="411"/>
      <c r="C709" s="411" t="s">
        <v>92</v>
      </c>
      <c r="D709" s="490"/>
      <c r="E709" s="434">
        <v>180000</v>
      </c>
      <c r="F709" s="642">
        <v>39920</v>
      </c>
      <c r="G709" s="440">
        <f>H709-F709</f>
        <v>10080</v>
      </c>
      <c r="H709" s="642">
        <v>50000</v>
      </c>
      <c r="I709" s="642"/>
    </row>
    <row r="710" spans="1:9" ht="15.75">
      <c r="A710" s="410"/>
      <c r="B710" s="411"/>
      <c r="C710" s="411" t="s">
        <v>205</v>
      </c>
      <c r="D710" s="490"/>
      <c r="E710" s="494"/>
      <c r="F710" s="646"/>
      <c r="G710" s="440">
        <f>H710-F710</f>
        <v>50000</v>
      </c>
      <c r="H710" s="646">
        <v>50000</v>
      </c>
      <c r="I710" s="646">
        <v>0</v>
      </c>
    </row>
    <row r="711" spans="1:9" ht="15.75">
      <c r="A711" s="410"/>
      <c r="B711" s="411"/>
      <c r="C711" s="411" t="s">
        <v>94</v>
      </c>
      <c r="D711" s="500"/>
      <c r="E711" s="436">
        <f>SUM(E708:E709)</f>
        <v>180000</v>
      </c>
      <c r="F711" s="773">
        <f>SUM(F708:F709)</f>
        <v>39920</v>
      </c>
      <c r="G711" s="447">
        <f>SUM(G708:G710)</f>
        <v>150080</v>
      </c>
      <c r="H711" s="447">
        <f>SUM(H708:H710)</f>
        <v>190000</v>
      </c>
      <c r="I711" s="773">
        <f>SUM(I708:I710)</f>
        <v>0</v>
      </c>
    </row>
    <row r="712" spans="1:9" ht="15.75">
      <c r="A712" s="443" t="s">
        <v>216</v>
      </c>
      <c r="B712" s="444"/>
      <c r="C712" s="444"/>
      <c r="D712" s="557"/>
      <c r="E712" s="446">
        <f>+E711+E704+E690</f>
        <v>5810094.38</v>
      </c>
      <c r="F712" s="775">
        <f>F711+F705+F690</f>
        <v>2551280.85</v>
      </c>
      <c r="G712" s="442">
        <f>G711+G704+G690</f>
        <v>4219611.15</v>
      </c>
      <c r="H712" s="442">
        <f>H690+H705+H711</f>
        <v>6770892</v>
      </c>
      <c r="I712" s="775">
        <f>I690+I704+I711</f>
        <v>6275123.849999999</v>
      </c>
    </row>
    <row r="713" spans="1:9" ht="15.75">
      <c r="A713" s="480"/>
      <c r="B713" s="558"/>
      <c r="C713" s="559"/>
      <c r="D713" s="560"/>
      <c r="E713" s="561"/>
      <c r="F713" s="833"/>
      <c r="G713" s="562"/>
      <c r="H713" s="758"/>
      <c r="I713" s="819"/>
    </row>
    <row r="714" spans="1:9" ht="15.75">
      <c r="A714" s="414"/>
      <c r="B714" s="563"/>
      <c r="C714" s="462"/>
      <c r="D714" s="560"/>
      <c r="E714" s="511"/>
      <c r="F714" s="248"/>
      <c r="G714" s="570"/>
      <c r="H714" s="563"/>
      <c r="I714" s="641"/>
    </row>
    <row r="715" spans="1:11" s="1" customFormat="1" ht="18">
      <c r="A715" s="460" t="s">
        <v>196</v>
      </c>
      <c r="B715" s="503"/>
      <c r="C715" s="462"/>
      <c r="D715" s="463"/>
      <c r="E715" s="464" t="s">
        <v>197</v>
      </c>
      <c r="F715" s="16"/>
      <c r="G715" s="465"/>
      <c r="H715" s="465" t="s">
        <v>198</v>
      </c>
      <c r="I715" s="862"/>
      <c r="J715" s="780"/>
      <c r="K715" s="780"/>
    </row>
    <row r="716" spans="1:9" ht="18">
      <c r="A716" s="460"/>
      <c r="B716" s="465"/>
      <c r="C716" s="465"/>
      <c r="D716" s="463"/>
      <c r="E716" s="467"/>
      <c r="F716" s="16"/>
      <c r="G716" s="465"/>
      <c r="H716" s="465"/>
      <c r="I716" s="862"/>
    </row>
    <row r="717" spans="1:9" ht="18">
      <c r="A717" s="460"/>
      <c r="B717" s="465"/>
      <c r="C717" s="465"/>
      <c r="D717" s="463"/>
      <c r="E717" s="511"/>
      <c r="F717" s="16"/>
      <c r="G717" s="465"/>
      <c r="H717" s="465"/>
      <c r="I717" s="249"/>
    </row>
    <row r="718" spans="1:9" ht="18">
      <c r="A718" s="460"/>
      <c r="B718" s="465"/>
      <c r="C718" s="465"/>
      <c r="D718" s="463"/>
      <c r="E718" s="467"/>
      <c r="F718" s="16"/>
      <c r="G718" s="465"/>
      <c r="H718" s="465"/>
      <c r="I718" s="249"/>
    </row>
    <row r="719" spans="1:9" ht="18">
      <c r="A719" s="460" t="s">
        <v>624</v>
      </c>
      <c r="B719" s="465"/>
      <c r="C719" s="465"/>
      <c r="D719" s="463"/>
      <c r="E719" s="464" t="str">
        <f>E116</f>
        <v>JANE B. LARIOSA</v>
      </c>
      <c r="F719" s="16"/>
      <c r="G719" s="1091" t="str">
        <f>G116</f>
        <v>WILLIAM E. CALVEZ, CE</v>
      </c>
      <c r="H719" s="1091"/>
      <c r="I719" s="1092"/>
    </row>
    <row r="720" spans="1:9" ht="18">
      <c r="A720" s="470" t="s">
        <v>169</v>
      </c>
      <c r="B720" s="433"/>
      <c r="C720" s="433"/>
      <c r="D720" s="504"/>
      <c r="E720" s="505" t="str">
        <f>E117</f>
        <v>AO II/OIC MBO</v>
      </c>
      <c r="F720" s="16"/>
      <c r="G720" s="1104" t="s">
        <v>155</v>
      </c>
      <c r="H720" s="1104"/>
      <c r="I720" s="1105"/>
    </row>
    <row r="721" spans="1:9" ht="18">
      <c r="A721" s="472"/>
      <c r="B721" s="473"/>
      <c r="C721" s="473"/>
      <c r="D721" s="474"/>
      <c r="E721" s="475"/>
      <c r="F721" s="810"/>
      <c r="G721" s="473"/>
      <c r="H721" s="473"/>
      <c r="I721" s="863"/>
    </row>
    <row r="722" ht="12.75">
      <c r="B722" s="476"/>
    </row>
    <row r="723" ht="12.75">
      <c r="B723" s="476"/>
    </row>
    <row r="724" ht="12.75">
      <c r="B724" s="476"/>
    </row>
    <row r="725" ht="12.75">
      <c r="B725" s="476"/>
    </row>
    <row r="726" ht="12.75">
      <c r="B726" s="476"/>
    </row>
    <row r="727" ht="12.75">
      <c r="B727" s="476"/>
    </row>
    <row r="728" ht="12.75">
      <c r="B728" s="476"/>
    </row>
    <row r="729" ht="12.75">
      <c r="B729" s="476"/>
    </row>
    <row r="730" ht="12.75">
      <c r="B730" s="476"/>
    </row>
    <row r="731" ht="12.75">
      <c r="B731" s="476"/>
    </row>
    <row r="732" ht="12.75">
      <c r="B732" s="476"/>
    </row>
    <row r="733" ht="12.75">
      <c r="B733" s="476"/>
    </row>
    <row r="734" ht="12.75">
      <c r="B734" s="476"/>
    </row>
    <row r="735" ht="12.75">
      <c r="B735" s="476"/>
    </row>
    <row r="736" ht="12.75">
      <c r="B736" s="476"/>
    </row>
    <row r="737" spans="1:9" ht="15.75">
      <c r="A737" s="480" t="str">
        <f>A3</f>
        <v>LBP Form No. 2</v>
      </c>
      <c r="B737" s="407"/>
      <c r="C737" s="407"/>
      <c r="D737" s="408"/>
      <c r="E737" s="409"/>
      <c r="F737" s="797"/>
      <c r="G737" s="407"/>
      <c r="H737" s="407"/>
      <c r="I737" s="854"/>
    </row>
    <row r="738" spans="1:9" ht="15.75">
      <c r="A738" s="410"/>
      <c r="B738" s="411"/>
      <c r="C738" s="411"/>
      <c r="D738" s="412"/>
      <c r="E738" s="413"/>
      <c r="F738" s="11"/>
      <c r="G738" s="411"/>
      <c r="H738" s="411"/>
      <c r="I738" s="855"/>
    </row>
    <row r="739" spans="1:9" ht="15.75">
      <c r="A739" s="1106" t="str">
        <f>A5</f>
        <v>PROGRAMMED APPROPRIATION AND OBLIGATION BY OBJECT OF EXPENDITURE</v>
      </c>
      <c r="B739" s="1107"/>
      <c r="C739" s="1107"/>
      <c r="D739" s="1107"/>
      <c r="E739" s="1107"/>
      <c r="F739" s="1107"/>
      <c r="G739" s="1107"/>
      <c r="H739" s="1107"/>
      <c r="I739" s="1108"/>
    </row>
    <row r="740" spans="1:9" ht="15.75">
      <c r="A740" s="1109" t="str">
        <f>A6</f>
        <v>Municipality of Trento</v>
      </c>
      <c r="B740" s="1110"/>
      <c r="C740" s="1110"/>
      <c r="D740" s="1110"/>
      <c r="E740" s="1110"/>
      <c r="F740" s="1110"/>
      <c r="G740" s="1110"/>
      <c r="H740" s="1110"/>
      <c r="I740" s="1111"/>
    </row>
    <row r="741" spans="1:9" ht="15.75">
      <c r="A741" s="414" t="s">
        <v>473</v>
      </c>
      <c r="B741" s="411"/>
      <c r="C741" s="411"/>
      <c r="D741" s="412"/>
      <c r="E741" s="413"/>
      <c r="F741" s="11"/>
      <c r="G741" s="411"/>
      <c r="H741" s="411"/>
      <c r="I741" s="855"/>
    </row>
    <row r="742" spans="1:9" ht="15.75">
      <c r="A742" s="497"/>
      <c r="B742" s="498"/>
      <c r="C742" s="498"/>
      <c r="D742" s="564"/>
      <c r="E742" s="565"/>
      <c r="F742" s="834"/>
      <c r="G742" s="498"/>
      <c r="H742" s="498"/>
      <c r="I742" s="877"/>
    </row>
    <row r="743" spans="1:11" s="6" customFormat="1" ht="15.75">
      <c r="A743" s="1112" t="s">
        <v>181</v>
      </c>
      <c r="B743" s="1113"/>
      <c r="C743" s="1114"/>
      <c r="D743" s="530"/>
      <c r="E743" s="416" t="s">
        <v>7</v>
      </c>
      <c r="F743" s="1115" t="str">
        <f>F9</f>
        <v>Current Year 2020 (Estimate)</v>
      </c>
      <c r="G743" s="1116"/>
      <c r="H743" s="1117"/>
      <c r="I743" s="856" t="s">
        <v>10</v>
      </c>
      <c r="J743" s="778"/>
      <c r="K743" s="778"/>
    </row>
    <row r="744" spans="1:11" s="6" customFormat="1" ht="15.75">
      <c r="A744" s="1109"/>
      <c r="B744" s="1110"/>
      <c r="C744" s="1111"/>
      <c r="D744" s="417" t="s">
        <v>5</v>
      </c>
      <c r="E744" s="486" t="str">
        <f>E10</f>
        <v>2019</v>
      </c>
      <c r="F744" s="813" t="s">
        <v>8</v>
      </c>
      <c r="G744" s="485" t="s">
        <v>9</v>
      </c>
      <c r="H744" s="1118" t="s">
        <v>1</v>
      </c>
      <c r="I744" s="813">
        <f>I10</f>
        <v>2021</v>
      </c>
      <c r="J744" s="778"/>
      <c r="K744" s="778"/>
    </row>
    <row r="745" spans="1:11" s="6" customFormat="1" ht="15.75">
      <c r="A745" s="1109"/>
      <c r="B745" s="1110"/>
      <c r="C745" s="1111"/>
      <c r="D745" s="417" t="s">
        <v>12</v>
      </c>
      <c r="E745" s="486" t="s">
        <v>14</v>
      </c>
      <c r="F745" s="813" t="s">
        <v>14</v>
      </c>
      <c r="G745" s="485" t="s">
        <v>15</v>
      </c>
      <c r="H745" s="1119"/>
      <c r="I745" s="813" t="s">
        <v>182</v>
      </c>
      <c r="J745" s="778"/>
      <c r="K745" s="778"/>
    </row>
    <row r="746" spans="1:11" s="6" customFormat="1" ht="12.75">
      <c r="A746" s="1095" t="s">
        <v>183</v>
      </c>
      <c r="B746" s="1096"/>
      <c r="C746" s="1097"/>
      <c r="D746" s="422" t="s">
        <v>184</v>
      </c>
      <c r="E746" s="423" t="s">
        <v>185</v>
      </c>
      <c r="F746" s="832" t="s">
        <v>186</v>
      </c>
      <c r="G746" s="556" t="s">
        <v>187</v>
      </c>
      <c r="H746" s="556" t="s">
        <v>188</v>
      </c>
      <c r="I746" s="832" t="s">
        <v>189</v>
      </c>
      <c r="J746" s="778"/>
      <c r="K746" s="778"/>
    </row>
    <row r="747" spans="1:9" ht="15.75">
      <c r="A747" s="410"/>
      <c r="B747" s="411"/>
      <c r="C747" s="411"/>
      <c r="D747" s="506"/>
      <c r="E747" s="434"/>
      <c r="F747" s="815"/>
      <c r="G747" s="410"/>
      <c r="H747" s="410"/>
      <c r="I747" s="867"/>
    </row>
    <row r="748" spans="1:9" ht="15.75">
      <c r="A748" s="441">
        <v>1</v>
      </c>
      <c r="B748" s="430" t="s">
        <v>190</v>
      </c>
      <c r="C748" s="411"/>
      <c r="D748" s="488"/>
      <c r="E748" s="434"/>
      <c r="F748" s="815"/>
      <c r="G748" s="410"/>
      <c r="H748" s="410"/>
      <c r="I748" s="867"/>
    </row>
    <row r="749" spans="1:9" ht="15.75">
      <c r="A749" s="410"/>
      <c r="B749" s="507">
        <v>1.1</v>
      </c>
      <c r="C749" s="411" t="s">
        <v>159</v>
      </c>
      <c r="D749" s="488"/>
      <c r="E749" s="434"/>
      <c r="F749" s="815"/>
      <c r="G749" s="410"/>
      <c r="H749" s="410"/>
      <c r="I749" s="639"/>
    </row>
    <row r="750" spans="1:9" ht="15.75">
      <c r="A750" s="410"/>
      <c r="B750" s="411"/>
      <c r="C750" s="411" t="s">
        <v>52</v>
      </c>
      <c r="D750" s="488"/>
      <c r="E750" s="434">
        <v>3430829.48</v>
      </c>
      <c r="F750" s="637">
        <v>1880530.63</v>
      </c>
      <c r="G750" s="434">
        <f aca="true" t="shared" si="20" ref="G750:G765">H750-F750</f>
        <v>2202601.37</v>
      </c>
      <c r="H750" s="639">
        <v>4083132</v>
      </c>
      <c r="I750" s="639">
        <v>4275835</v>
      </c>
    </row>
    <row r="751" spans="1:9" ht="15.75">
      <c r="A751" s="410"/>
      <c r="B751" s="411"/>
      <c r="C751" s="411" t="s">
        <v>53</v>
      </c>
      <c r="D751" s="488"/>
      <c r="E751" s="434">
        <v>313864.3</v>
      </c>
      <c r="F751" s="637">
        <v>156000</v>
      </c>
      <c r="G751" s="434">
        <f t="shared" si="20"/>
        <v>228000</v>
      </c>
      <c r="H751" s="639">
        <f>2000*16*12</f>
        <v>384000</v>
      </c>
      <c r="I751" s="639">
        <f>2000*17*12</f>
        <v>408000</v>
      </c>
    </row>
    <row r="752" spans="1:9" ht="15.75">
      <c r="A752" s="410"/>
      <c r="B752" s="411"/>
      <c r="C752" s="411" t="s">
        <v>54</v>
      </c>
      <c r="D752" s="488"/>
      <c r="E752" s="434">
        <v>81000</v>
      </c>
      <c r="F752" s="637">
        <v>40500</v>
      </c>
      <c r="G752" s="434">
        <f t="shared" si="20"/>
        <v>40500</v>
      </c>
      <c r="H752" s="639">
        <v>81000</v>
      </c>
      <c r="I752" s="639">
        <v>81000</v>
      </c>
    </row>
    <row r="753" spans="1:9" ht="15.75">
      <c r="A753" s="410"/>
      <c r="B753" s="411"/>
      <c r="C753" s="411" t="s">
        <v>55</v>
      </c>
      <c r="D753" s="488"/>
      <c r="E753" s="434">
        <v>81000</v>
      </c>
      <c r="F753" s="637">
        <v>40500</v>
      </c>
      <c r="G753" s="434">
        <f t="shared" si="20"/>
        <v>40500</v>
      </c>
      <c r="H753" s="639">
        <v>81000</v>
      </c>
      <c r="I753" s="639">
        <v>81000</v>
      </c>
    </row>
    <row r="754" spans="1:9" ht="15.75">
      <c r="A754" s="410"/>
      <c r="B754" s="411"/>
      <c r="C754" s="411" t="s">
        <v>484</v>
      </c>
      <c r="D754" s="488"/>
      <c r="E754" s="434">
        <v>78000</v>
      </c>
      <c r="F754" s="637">
        <v>78000</v>
      </c>
      <c r="G754" s="434">
        <f t="shared" si="20"/>
        <v>18000</v>
      </c>
      <c r="H754" s="639">
        <f>6000*16</f>
        <v>96000</v>
      </c>
      <c r="I754" s="639">
        <f>6000*17</f>
        <v>102000</v>
      </c>
    </row>
    <row r="755" spans="1:9" ht="15.75">
      <c r="A755" s="410"/>
      <c r="B755" s="411"/>
      <c r="C755" s="411" t="s">
        <v>0</v>
      </c>
      <c r="D755" s="488"/>
      <c r="E755" s="434">
        <v>283763</v>
      </c>
      <c r="F755" s="637">
        <v>0</v>
      </c>
      <c r="G755" s="434">
        <f t="shared" si="20"/>
        <v>340261.58</v>
      </c>
      <c r="H755" s="639">
        <v>340261.58</v>
      </c>
      <c r="I755" s="639">
        <f>I758</f>
        <v>356319.583333</v>
      </c>
    </row>
    <row r="756" spans="1:9" ht="15.75">
      <c r="A756" s="410"/>
      <c r="B756" s="411"/>
      <c r="C756" s="411" t="s">
        <v>59</v>
      </c>
      <c r="D756" s="488"/>
      <c r="E756" s="434">
        <v>65000</v>
      </c>
      <c r="F756" s="637">
        <v>0</v>
      </c>
      <c r="G756" s="434">
        <f t="shared" si="20"/>
        <v>80000</v>
      </c>
      <c r="H756" s="639">
        <f>5000*16</f>
        <v>80000</v>
      </c>
      <c r="I756" s="639">
        <f>5000*17</f>
        <v>85000</v>
      </c>
    </row>
    <row r="757" spans="1:9" ht="15.75">
      <c r="A757" s="410"/>
      <c r="B757" s="411"/>
      <c r="C757" s="411" t="str">
        <f>C23</f>
        <v>Performance Base Bonus</v>
      </c>
      <c r="D757" s="488"/>
      <c r="E757" s="434">
        <v>297298.24</v>
      </c>
      <c r="F757" s="637">
        <v>185935.75</v>
      </c>
      <c r="G757" s="434">
        <f t="shared" si="20"/>
        <v>140883.83000000002</v>
      </c>
      <c r="H757" s="639">
        <v>326819.58</v>
      </c>
      <c r="I757" s="639">
        <v>356319.583333</v>
      </c>
    </row>
    <row r="758" spans="1:9" ht="15.75">
      <c r="A758" s="410"/>
      <c r="B758" s="411"/>
      <c r="C758" s="411" t="str">
        <f>C24</f>
        <v>Mid Year</v>
      </c>
      <c r="D758" s="488"/>
      <c r="E758" s="413">
        <v>269599</v>
      </c>
      <c r="F758" s="637">
        <v>293935</v>
      </c>
      <c r="G758" s="434">
        <f t="shared" si="20"/>
        <v>46326.580000000016</v>
      </c>
      <c r="H758" s="639">
        <v>340261.58</v>
      </c>
      <c r="I758" s="639">
        <f>I757</f>
        <v>356319.583333</v>
      </c>
    </row>
    <row r="759" spans="1:9" ht="15.75">
      <c r="A759" s="410"/>
      <c r="B759" s="411"/>
      <c r="C759" s="411" t="s">
        <v>485</v>
      </c>
      <c r="D759" s="490"/>
      <c r="E759" s="434">
        <v>404811.85</v>
      </c>
      <c r="F759" s="637">
        <v>210954.02</v>
      </c>
      <c r="G759" s="434">
        <f t="shared" si="20"/>
        <v>279021.82999999996</v>
      </c>
      <c r="H759" s="639">
        <v>489975.85</v>
      </c>
      <c r="I759" s="639">
        <f>I750*12%</f>
        <v>513100.19999999995</v>
      </c>
    </row>
    <row r="760" spans="1:9" ht="15.75">
      <c r="A760" s="410"/>
      <c r="B760" s="411"/>
      <c r="C760" s="411" t="s">
        <v>61</v>
      </c>
      <c r="D760" s="490"/>
      <c r="E760" s="434">
        <v>36991.84</v>
      </c>
      <c r="F760" s="637">
        <v>9438.84</v>
      </c>
      <c r="G760" s="434">
        <f t="shared" si="20"/>
        <v>72223.8</v>
      </c>
      <c r="H760" s="639">
        <f>H750*2%</f>
        <v>81662.64</v>
      </c>
      <c r="I760" s="639">
        <f>1700*12</f>
        <v>20400</v>
      </c>
    </row>
    <row r="761" spans="1:9" ht="15.75">
      <c r="A761" s="410"/>
      <c r="B761" s="411"/>
      <c r="C761" s="411" t="s">
        <v>62</v>
      </c>
      <c r="D761" s="490"/>
      <c r="E761" s="434">
        <v>39799.79</v>
      </c>
      <c r="F761" s="637">
        <v>24190.24</v>
      </c>
      <c r="G761" s="434">
        <f t="shared" si="20"/>
        <v>37056.740000000005</v>
      </c>
      <c r="H761" s="639">
        <v>61246.98</v>
      </c>
      <c r="I761" s="639">
        <f>I750*1.75%</f>
        <v>74827.1125</v>
      </c>
    </row>
    <row r="762" spans="1:9" ht="15.75">
      <c r="A762" s="410"/>
      <c r="B762" s="411"/>
      <c r="C762" s="411" t="s">
        <v>262</v>
      </c>
      <c r="D762" s="490"/>
      <c r="E762" s="434">
        <v>15697.1</v>
      </c>
      <c r="F762" s="637">
        <v>7800</v>
      </c>
      <c r="G762" s="434">
        <f t="shared" si="20"/>
        <v>11400</v>
      </c>
      <c r="H762" s="639">
        <f>1600*12</f>
        <v>19200</v>
      </c>
      <c r="I762" s="639">
        <f>1700*12</f>
        <v>20400</v>
      </c>
    </row>
    <row r="763" spans="1:9" ht="15.75">
      <c r="A763" s="410"/>
      <c r="B763" s="411"/>
      <c r="C763" s="411" t="s">
        <v>66</v>
      </c>
      <c r="D763" s="490"/>
      <c r="E763" s="434">
        <v>325000</v>
      </c>
      <c r="F763" s="637">
        <v>139763.32</v>
      </c>
      <c r="G763" s="434">
        <f t="shared" si="20"/>
        <v>497713.14999999997</v>
      </c>
      <c r="H763" s="639">
        <v>637476.47</v>
      </c>
      <c r="I763" s="639">
        <f>20000*17</f>
        <v>340000</v>
      </c>
    </row>
    <row r="764" spans="1:9" ht="15.75">
      <c r="A764" s="410"/>
      <c r="B764" s="411"/>
      <c r="C764" s="411" t="str">
        <f>C31</f>
        <v>Productivity Enhancement Incentive</v>
      </c>
      <c r="D764" s="488"/>
      <c r="E764" s="434">
        <v>65000</v>
      </c>
      <c r="F764" s="637">
        <v>0</v>
      </c>
      <c r="G764" s="434">
        <f t="shared" si="20"/>
        <v>80000</v>
      </c>
      <c r="H764" s="639">
        <f>5000*16</f>
        <v>80000</v>
      </c>
      <c r="I764" s="639">
        <f>5000*17</f>
        <v>85000</v>
      </c>
    </row>
    <row r="765" spans="1:9" ht="15.75">
      <c r="A765" s="410"/>
      <c r="B765" s="411"/>
      <c r="C765" s="411" t="s">
        <v>294</v>
      </c>
      <c r="D765" s="490"/>
      <c r="E765" s="434">
        <v>154410.25</v>
      </c>
      <c r="F765" s="637"/>
      <c r="G765" s="434">
        <f t="shared" si="20"/>
        <v>0</v>
      </c>
      <c r="H765" s="440"/>
      <c r="I765" s="639">
        <v>1215556.84</v>
      </c>
    </row>
    <row r="766" spans="1:9" ht="15.75">
      <c r="A766" s="410"/>
      <c r="B766" s="411"/>
      <c r="C766" s="411" t="s">
        <v>67</v>
      </c>
      <c r="D766" s="490"/>
      <c r="E766" s="436">
        <f>SUM(E750:E765)</f>
        <v>5942064.849999999</v>
      </c>
      <c r="F766" s="636">
        <f>SUM(F750:F765)</f>
        <v>3067547.8</v>
      </c>
      <c r="G766" s="436">
        <f>SUM(G750:G765)</f>
        <v>4114488.8800000004</v>
      </c>
      <c r="H766" s="436">
        <f>SUM(H750:H765)</f>
        <v>7182036.68</v>
      </c>
      <c r="I766" s="636">
        <f>SUM(I750:I765)</f>
        <v>8371077.902498999</v>
      </c>
    </row>
    <row r="767" spans="1:9" ht="15.75">
      <c r="A767" s="410"/>
      <c r="B767" s="411"/>
      <c r="C767" s="411"/>
      <c r="D767" s="488"/>
      <c r="E767" s="413"/>
      <c r="F767" s="739"/>
      <c r="G767" s="434"/>
      <c r="H767" s="434"/>
      <c r="I767" s="637"/>
    </row>
    <row r="768" spans="1:9" ht="15.75">
      <c r="A768" s="410"/>
      <c r="B768" s="507">
        <v>1.2</v>
      </c>
      <c r="C768" s="411" t="s">
        <v>191</v>
      </c>
      <c r="D768" s="488"/>
      <c r="E768" s="413"/>
      <c r="F768" s="637"/>
      <c r="G768" s="434"/>
      <c r="H768" s="434"/>
      <c r="I768" s="637"/>
    </row>
    <row r="769" spans="1:9" ht="15.75">
      <c r="A769" s="410"/>
      <c r="B769" s="411"/>
      <c r="C769" s="411" t="s">
        <v>199</v>
      </c>
      <c r="D769" s="488"/>
      <c r="E769" s="413"/>
      <c r="F769" s="637"/>
      <c r="G769" s="434"/>
      <c r="H769" s="434"/>
      <c r="I769" s="637"/>
    </row>
    <row r="770" spans="1:9" ht="15.75">
      <c r="A770" s="410"/>
      <c r="B770" s="411"/>
      <c r="C770" s="411"/>
      <c r="D770" s="488"/>
      <c r="E770" s="413"/>
      <c r="F770" s="637"/>
      <c r="G770" s="434"/>
      <c r="H770" s="434"/>
      <c r="I770" s="637"/>
    </row>
    <row r="771" spans="1:9" ht="15.75">
      <c r="A771" s="410"/>
      <c r="B771" s="411"/>
      <c r="C771" s="411" t="s">
        <v>69</v>
      </c>
      <c r="D771" s="488"/>
      <c r="E771" s="438">
        <v>352852.44</v>
      </c>
      <c r="F771" s="802">
        <v>71899.44</v>
      </c>
      <c r="G771" s="434">
        <f>H771-F771</f>
        <v>218100.56</v>
      </c>
      <c r="H771" s="637">
        <v>290000</v>
      </c>
      <c r="I771" s="637">
        <v>100000</v>
      </c>
    </row>
    <row r="772" spans="1:9" ht="15.75">
      <c r="A772" s="410"/>
      <c r="B772" s="411"/>
      <c r="C772" s="411" t="s">
        <v>176</v>
      </c>
      <c r="D772" s="488"/>
      <c r="E772" s="438">
        <v>89992</v>
      </c>
      <c r="F772" s="802">
        <v>8900</v>
      </c>
      <c r="G772" s="434">
        <f aca="true" t="shared" si="21" ref="G772:G783">H772-F772</f>
        <v>81100</v>
      </c>
      <c r="H772" s="637">
        <v>90000</v>
      </c>
      <c r="I772" s="637">
        <v>50000</v>
      </c>
    </row>
    <row r="773" spans="1:9" ht="15.75">
      <c r="A773" s="410"/>
      <c r="B773" s="411"/>
      <c r="C773" s="411" t="s">
        <v>70</v>
      </c>
      <c r="D773" s="490"/>
      <c r="E773" s="434">
        <v>97954.89</v>
      </c>
      <c r="F773" s="637">
        <v>0</v>
      </c>
      <c r="G773" s="434">
        <f>H773-F773</f>
        <v>125000</v>
      </c>
      <c r="H773" s="637">
        <v>125000</v>
      </c>
      <c r="I773" s="637">
        <v>125000</v>
      </c>
    </row>
    <row r="774" spans="1:9" ht="15.75">
      <c r="A774" s="410"/>
      <c r="B774" s="411"/>
      <c r="C774" s="411" t="s">
        <v>71</v>
      </c>
      <c r="D774" s="488"/>
      <c r="E774" s="438">
        <v>323957.15</v>
      </c>
      <c r="F774" s="802">
        <v>126867.45</v>
      </c>
      <c r="G774" s="434">
        <f t="shared" si="21"/>
        <v>373132.55</v>
      </c>
      <c r="H774" s="637">
        <v>500000</v>
      </c>
      <c r="I774" s="637">
        <v>1210000</v>
      </c>
    </row>
    <row r="775" spans="1:9" ht="15.75">
      <c r="A775" s="410"/>
      <c r="B775" s="411"/>
      <c r="C775" s="411" t="s">
        <v>217</v>
      </c>
      <c r="D775" s="488"/>
      <c r="E775" s="438">
        <v>23750</v>
      </c>
      <c r="F775" s="802">
        <v>0</v>
      </c>
      <c r="G775" s="434">
        <f t="shared" si="21"/>
        <v>5000</v>
      </c>
      <c r="H775" s="637">
        <v>5000</v>
      </c>
      <c r="I775" s="637">
        <v>5000</v>
      </c>
    </row>
    <row r="776" spans="1:9" ht="15.75">
      <c r="A776" s="410"/>
      <c r="B776" s="411"/>
      <c r="C776" s="493" t="s">
        <v>411</v>
      </c>
      <c r="D776" s="488"/>
      <c r="E776" s="434"/>
      <c r="F776" s="637">
        <v>0</v>
      </c>
      <c r="G776" s="434">
        <f t="shared" si="21"/>
        <v>1000</v>
      </c>
      <c r="H776" s="637">
        <v>1000</v>
      </c>
      <c r="I776" s="637">
        <v>1000</v>
      </c>
    </row>
    <row r="777" spans="1:9" ht="15.75">
      <c r="A777" s="410"/>
      <c r="B777" s="411"/>
      <c r="C777" s="411" t="s">
        <v>97</v>
      </c>
      <c r="D777" s="490"/>
      <c r="E777" s="434">
        <v>24000</v>
      </c>
      <c r="F777" s="637">
        <v>12000</v>
      </c>
      <c r="G777" s="434">
        <f t="shared" si="21"/>
        <v>12000</v>
      </c>
      <c r="H777" s="637">
        <v>24000</v>
      </c>
      <c r="I777" s="637">
        <v>24000</v>
      </c>
    </row>
    <row r="778" spans="1:9" ht="15.75">
      <c r="A778" s="410"/>
      <c r="B778" s="411"/>
      <c r="C778" s="411" t="s">
        <v>83</v>
      </c>
      <c r="D778" s="490"/>
      <c r="E778" s="434">
        <v>20599.75</v>
      </c>
      <c r="F778" s="637">
        <v>0</v>
      </c>
      <c r="G778" s="434">
        <f>H778-F778</f>
        <v>90000</v>
      </c>
      <c r="H778" s="637">
        <v>90000</v>
      </c>
      <c r="I778" s="637">
        <v>90000</v>
      </c>
    </row>
    <row r="779" spans="1:9" ht="15.75">
      <c r="A779" s="410"/>
      <c r="B779" s="411"/>
      <c r="C779" s="411" t="s">
        <v>265</v>
      </c>
      <c r="D779" s="490"/>
      <c r="E779" s="434">
        <v>28990</v>
      </c>
      <c r="F779" s="637">
        <v>0</v>
      </c>
      <c r="G779" s="434">
        <f t="shared" si="21"/>
        <v>50000</v>
      </c>
      <c r="H779" s="637">
        <v>50000</v>
      </c>
      <c r="I779" s="637">
        <v>50000</v>
      </c>
    </row>
    <row r="780" spans="1:9" ht="15.75">
      <c r="A780" s="410"/>
      <c r="B780" s="411"/>
      <c r="C780" s="411" t="s">
        <v>381</v>
      </c>
      <c r="D780" s="490"/>
      <c r="E780" s="434">
        <v>30000</v>
      </c>
      <c r="F780" s="637">
        <v>8400</v>
      </c>
      <c r="G780" s="434">
        <f>H780-F780</f>
        <v>21600</v>
      </c>
      <c r="H780" s="637">
        <v>30000</v>
      </c>
      <c r="I780" s="637">
        <v>30000</v>
      </c>
    </row>
    <row r="781" spans="1:9" ht="15.75">
      <c r="A781" s="410"/>
      <c r="B781" s="411"/>
      <c r="C781" s="411" t="s">
        <v>414</v>
      </c>
      <c r="D781" s="490"/>
      <c r="E781" s="434">
        <v>14500</v>
      </c>
      <c r="F781" s="637">
        <v>0</v>
      </c>
      <c r="G781" s="434">
        <f t="shared" si="21"/>
        <v>30000</v>
      </c>
      <c r="H781" s="637">
        <v>30000</v>
      </c>
      <c r="I781" s="637">
        <v>30000</v>
      </c>
    </row>
    <row r="782" spans="1:9" ht="15.75">
      <c r="A782" s="410"/>
      <c r="B782" s="411"/>
      <c r="C782" s="411" t="s">
        <v>491</v>
      </c>
      <c r="D782" s="490"/>
      <c r="E782" s="434">
        <v>24000</v>
      </c>
      <c r="F782" s="637">
        <v>40000</v>
      </c>
      <c r="G782" s="434">
        <f>H782-F782</f>
        <v>56000</v>
      </c>
      <c r="H782" s="637">
        <v>96000</v>
      </c>
      <c r="I782" s="637">
        <v>96000</v>
      </c>
    </row>
    <row r="783" spans="1:9" ht="15.75">
      <c r="A783" s="410"/>
      <c r="B783" s="411"/>
      <c r="C783" s="411" t="s">
        <v>85</v>
      </c>
      <c r="D783" s="490"/>
      <c r="E783" s="434">
        <v>42324.5</v>
      </c>
      <c r="F783" s="637">
        <v>0</v>
      </c>
      <c r="G783" s="434">
        <f t="shared" si="21"/>
        <v>100000</v>
      </c>
      <c r="H783" s="637">
        <v>100000</v>
      </c>
      <c r="I783" s="637">
        <v>100000</v>
      </c>
    </row>
    <row r="784" spans="1:9" ht="15.75">
      <c r="A784" s="586"/>
      <c r="B784" s="587"/>
      <c r="C784" s="587" t="s">
        <v>259</v>
      </c>
      <c r="D784" s="485"/>
      <c r="E784" s="434">
        <v>133781</v>
      </c>
      <c r="F784" s="639">
        <v>72093</v>
      </c>
      <c r="G784" s="434">
        <f>H784-F784</f>
        <v>77907</v>
      </c>
      <c r="H784" s="637">
        <v>150000</v>
      </c>
      <c r="I784" s="651">
        <v>150000</v>
      </c>
    </row>
    <row r="785" spans="1:9" ht="7.5" customHeight="1">
      <c r="A785" s="410"/>
      <c r="B785" s="411"/>
      <c r="C785" s="411"/>
      <c r="D785" s="490"/>
      <c r="E785" s="434"/>
      <c r="F785" s="637"/>
      <c r="G785" s="434"/>
      <c r="H785" s="637"/>
      <c r="I785" s="637"/>
    </row>
    <row r="786" spans="1:9" ht="15.75">
      <c r="A786" s="410"/>
      <c r="B786" s="411"/>
      <c r="C786" s="411" t="s">
        <v>192</v>
      </c>
      <c r="D786" s="488"/>
      <c r="E786" s="1121">
        <f>SUM(E771:E784)</f>
        <v>1206701.73</v>
      </c>
      <c r="F786" s="820"/>
      <c r="G786" s="1123">
        <f>SUM(G771:G784)</f>
        <v>1240840.1099999999</v>
      </c>
      <c r="H786" s="766"/>
      <c r="I786" s="1125">
        <f>SUM(I771:I785)</f>
        <v>2061000</v>
      </c>
    </row>
    <row r="787" spans="1:9" ht="15.75">
      <c r="A787" s="410"/>
      <c r="B787" s="411"/>
      <c r="C787" s="411" t="s">
        <v>193</v>
      </c>
      <c r="D787" s="488"/>
      <c r="E787" s="1122"/>
      <c r="F787" s="774">
        <f>SUM(F771:F785)</f>
        <v>340159.89</v>
      </c>
      <c r="G787" s="1124"/>
      <c r="H787" s="767">
        <f>SUM(H771:H785)</f>
        <v>1581000</v>
      </c>
      <c r="I787" s="1126"/>
    </row>
    <row r="788" spans="1:9" ht="15.75">
      <c r="A788" s="410"/>
      <c r="B788" s="411"/>
      <c r="C788" s="411"/>
      <c r="D788" s="488"/>
      <c r="E788" s="434"/>
      <c r="F788" s="639"/>
      <c r="G788" s="440"/>
      <c r="H788" s="440"/>
      <c r="I788" s="639"/>
    </row>
    <row r="789" spans="1:9" ht="15.75">
      <c r="A789" s="441">
        <v>2</v>
      </c>
      <c r="B789" s="411" t="s">
        <v>89</v>
      </c>
      <c r="C789" s="411"/>
      <c r="D789" s="488"/>
      <c r="E789" s="434"/>
      <c r="F789" s="639"/>
      <c r="G789" s="440"/>
      <c r="H789" s="440"/>
      <c r="I789" s="639"/>
    </row>
    <row r="790" spans="1:9" ht="15.75">
      <c r="A790" s="441"/>
      <c r="B790" s="411"/>
      <c r="C790" s="411" t="s">
        <v>93</v>
      </c>
      <c r="D790" s="488"/>
      <c r="E790" s="434"/>
      <c r="F790" s="639">
        <v>185000</v>
      </c>
      <c r="G790" s="440">
        <f>H790-F790</f>
        <v>6000</v>
      </c>
      <c r="H790" s="639">
        <v>191000</v>
      </c>
      <c r="I790" s="639">
        <v>0</v>
      </c>
    </row>
    <row r="791" spans="1:9" ht="15.75">
      <c r="A791" s="441"/>
      <c r="B791" s="411"/>
      <c r="C791" s="411" t="s">
        <v>194</v>
      </c>
      <c r="D791" s="488"/>
      <c r="E791" s="434">
        <v>98999.98</v>
      </c>
      <c r="F791" s="639"/>
      <c r="G791" s="440">
        <f>H791-F791</f>
        <v>100000</v>
      </c>
      <c r="H791" s="639">
        <v>100000</v>
      </c>
      <c r="I791" s="639"/>
    </row>
    <row r="792" spans="1:9" ht="15.75">
      <c r="A792" s="441"/>
      <c r="B792" s="411"/>
      <c r="C792" s="411" t="s">
        <v>92</v>
      </c>
      <c r="D792" s="488"/>
      <c r="E792" s="434">
        <v>170360</v>
      </c>
      <c r="F792" s="639"/>
      <c r="G792" s="440">
        <f>H792-F792</f>
        <v>100000</v>
      </c>
      <c r="H792" s="639">
        <v>100000</v>
      </c>
      <c r="I792" s="639"/>
    </row>
    <row r="793" spans="1:9" ht="15.75">
      <c r="A793" s="410"/>
      <c r="B793" s="411"/>
      <c r="C793" s="411" t="s">
        <v>94</v>
      </c>
      <c r="D793" s="566"/>
      <c r="E793" s="436">
        <f>SUM(E790:E792)</f>
        <v>269359.98</v>
      </c>
      <c r="F793" s="775">
        <f>SUM(F790:F792)</f>
        <v>185000</v>
      </c>
      <c r="G793" s="447">
        <f>SUM(G790:G792)</f>
        <v>206000</v>
      </c>
      <c r="H793" s="442">
        <f>SUM(H790:H792)</f>
        <v>391000</v>
      </c>
      <c r="I793" s="773">
        <f>SUM(I790:I792)</f>
        <v>0</v>
      </c>
    </row>
    <row r="794" spans="1:9" ht="15.75">
      <c r="A794" s="443" t="s">
        <v>218</v>
      </c>
      <c r="B794" s="444"/>
      <c r="C794" s="444"/>
      <c r="D794" s="557"/>
      <c r="E794" s="446">
        <f>+E793+E786+E766</f>
        <v>7418126.559999999</v>
      </c>
      <c r="F794" s="775">
        <f>F793+F787+F766</f>
        <v>3592707.69</v>
      </c>
      <c r="G794" s="442">
        <f>G793+G786+G766</f>
        <v>5561328.99</v>
      </c>
      <c r="H794" s="442">
        <f>H766+H787+H793</f>
        <v>9154036.68</v>
      </c>
      <c r="I794" s="775">
        <f>I766+I786+I793</f>
        <v>10432077.902498998</v>
      </c>
    </row>
    <row r="795" spans="1:9" ht="15.75">
      <c r="A795" s="414"/>
      <c r="B795" s="563"/>
      <c r="C795" s="462"/>
      <c r="D795" s="735"/>
      <c r="E795" s="511"/>
      <c r="F795" s="248"/>
      <c r="G795" s="570"/>
      <c r="H795" s="563"/>
      <c r="I795" s="641"/>
    </row>
    <row r="796" spans="1:9" ht="15.75">
      <c r="A796" s="414"/>
      <c r="B796" s="563"/>
      <c r="C796" s="462"/>
      <c r="D796" s="735"/>
      <c r="E796" s="511"/>
      <c r="F796" s="248"/>
      <c r="G796" s="570"/>
      <c r="H796" s="563"/>
      <c r="I796" s="641"/>
    </row>
    <row r="797" spans="1:9" ht="15" customHeight="1">
      <c r="A797" s="460" t="s">
        <v>196</v>
      </c>
      <c r="B797" s="503"/>
      <c r="C797" s="462"/>
      <c r="D797" s="463"/>
      <c r="E797" s="464" t="s">
        <v>197</v>
      </c>
      <c r="F797" s="16"/>
      <c r="G797" s="465"/>
      <c r="H797" s="465" t="s">
        <v>198</v>
      </c>
      <c r="I797" s="862"/>
    </row>
    <row r="798" spans="1:9" ht="18">
      <c r="A798" s="460"/>
      <c r="B798" s="465"/>
      <c r="C798" s="462"/>
      <c r="D798" s="463"/>
      <c r="E798" s="467"/>
      <c r="F798" s="16"/>
      <c r="G798" s="465"/>
      <c r="H798" s="465"/>
      <c r="I798" s="862"/>
    </row>
    <row r="799" spans="1:9" ht="18">
      <c r="A799" s="460"/>
      <c r="B799" s="465"/>
      <c r="C799" s="465"/>
      <c r="D799" s="463"/>
      <c r="E799" s="511"/>
      <c r="F799" s="16"/>
      <c r="G799" s="554"/>
      <c r="H799" s="465"/>
      <c r="I799" s="249"/>
    </row>
    <row r="800" spans="1:9" ht="18">
      <c r="A800" s="460"/>
      <c r="B800" s="465"/>
      <c r="C800" s="465"/>
      <c r="D800" s="463"/>
      <c r="E800" s="467"/>
      <c r="F800" s="16"/>
      <c r="G800" s="465"/>
      <c r="H800" s="465"/>
      <c r="I800" s="249"/>
    </row>
    <row r="801" spans="1:9" ht="18">
      <c r="A801" s="460" t="s">
        <v>219</v>
      </c>
      <c r="B801" s="465"/>
      <c r="C801" s="465"/>
      <c r="D801" s="463"/>
      <c r="E801" s="464" t="str">
        <f>E116</f>
        <v>JANE B. LARIOSA</v>
      </c>
      <c r="F801" s="16"/>
      <c r="G801" s="1091" t="str">
        <f>G116</f>
        <v>WILLIAM E. CALVEZ, CE</v>
      </c>
      <c r="H801" s="1091"/>
      <c r="I801" s="1092"/>
    </row>
    <row r="802" spans="1:9" ht="18">
      <c r="A802" s="470" t="s">
        <v>320</v>
      </c>
      <c r="B802" s="433"/>
      <c r="C802" s="433"/>
      <c r="D802" s="504"/>
      <c r="E802" s="505" t="str">
        <f>E117</f>
        <v>AO II/OIC MBO</v>
      </c>
      <c r="F802" s="16"/>
      <c r="G802" s="1104" t="s">
        <v>155</v>
      </c>
      <c r="H802" s="1104"/>
      <c r="I802" s="1105"/>
    </row>
    <row r="803" spans="1:9" ht="18">
      <c r="A803" s="472"/>
      <c r="B803" s="473"/>
      <c r="C803" s="473"/>
      <c r="D803" s="474"/>
      <c r="E803" s="475"/>
      <c r="F803" s="810"/>
      <c r="G803" s="473"/>
      <c r="H803" s="473"/>
      <c r="I803" s="863"/>
    </row>
    <row r="804" ht="12.75">
      <c r="B804" s="476"/>
    </row>
    <row r="805" ht="12.75">
      <c r="B805" s="476"/>
    </row>
    <row r="806" ht="12.75">
      <c r="B806" s="476"/>
    </row>
    <row r="807" ht="12.75">
      <c r="B807" s="476"/>
    </row>
    <row r="808" ht="12.75">
      <c r="B808" s="476"/>
    </row>
    <row r="809" ht="12.75">
      <c r="B809" s="476"/>
    </row>
    <row r="810" ht="12.75">
      <c r="B810" s="476"/>
    </row>
    <row r="811" ht="12.75">
      <c r="B811" s="476"/>
    </row>
    <row r="812" ht="12.75">
      <c r="B812" s="476"/>
    </row>
    <row r="813" ht="12.75">
      <c r="B813" s="476"/>
    </row>
    <row r="814" spans="1:9" ht="15.75">
      <c r="A814" s="480" t="str">
        <f>A3</f>
        <v>LBP Form No. 2</v>
      </c>
      <c r="B814" s="407"/>
      <c r="C814" s="407"/>
      <c r="D814" s="408"/>
      <c r="E814" s="409"/>
      <c r="F814" s="797"/>
      <c r="G814" s="407"/>
      <c r="H814" s="407"/>
      <c r="I814" s="854"/>
    </row>
    <row r="815" spans="1:9" ht="15.75">
      <c r="A815" s="410"/>
      <c r="B815" s="411"/>
      <c r="C815" s="411"/>
      <c r="D815" s="412"/>
      <c r="E815" s="413"/>
      <c r="F815" s="11"/>
      <c r="G815" s="411"/>
      <c r="H815" s="411"/>
      <c r="I815" s="855"/>
    </row>
    <row r="816" spans="1:9" ht="15.75">
      <c r="A816" s="1106" t="str">
        <f>A5</f>
        <v>PROGRAMMED APPROPRIATION AND OBLIGATION BY OBJECT OF EXPENDITURE</v>
      </c>
      <c r="B816" s="1107"/>
      <c r="C816" s="1107"/>
      <c r="D816" s="1107"/>
      <c r="E816" s="1107"/>
      <c r="F816" s="1107"/>
      <c r="G816" s="1107"/>
      <c r="H816" s="1107"/>
      <c r="I816" s="1108"/>
    </row>
    <row r="817" spans="1:9" ht="15.75">
      <c r="A817" s="1109" t="str">
        <f>A6</f>
        <v>Municipality of Trento</v>
      </c>
      <c r="B817" s="1110"/>
      <c r="C817" s="1110"/>
      <c r="D817" s="1110"/>
      <c r="E817" s="1110"/>
      <c r="F817" s="1110"/>
      <c r="G817" s="1110"/>
      <c r="H817" s="1110"/>
      <c r="I817" s="1111"/>
    </row>
    <row r="818" spans="1:9" ht="15.75">
      <c r="A818" s="414" t="s">
        <v>474</v>
      </c>
      <c r="B818" s="411"/>
      <c r="C818" s="411"/>
      <c r="D818" s="412"/>
      <c r="E818" s="413"/>
      <c r="F818" s="11"/>
      <c r="G818" s="411"/>
      <c r="H818" s="411"/>
      <c r="I818" s="855"/>
    </row>
    <row r="819" spans="1:9" ht="15.75">
      <c r="A819" s="410"/>
      <c r="B819" s="411"/>
      <c r="C819" s="411"/>
      <c r="D819" s="412"/>
      <c r="E819" s="413"/>
      <c r="F819" s="11"/>
      <c r="G819" s="411"/>
      <c r="H819" s="411"/>
      <c r="I819" s="855"/>
    </row>
    <row r="820" spans="1:11" s="6" customFormat="1" ht="15.75">
      <c r="A820" s="1112" t="s">
        <v>181</v>
      </c>
      <c r="B820" s="1113"/>
      <c r="C820" s="1114"/>
      <c r="D820" s="530"/>
      <c r="E820" s="416" t="s">
        <v>7</v>
      </c>
      <c r="F820" s="1115" t="str">
        <f>F9</f>
        <v>Current Year 2020 (Estimate)</v>
      </c>
      <c r="G820" s="1116"/>
      <c r="H820" s="1117"/>
      <c r="I820" s="856" t="s">
        <v>10</v>
      </c>
      <c r="J820" s="778"/>
      <c r="K820" s="778"/>
    </row>
    <row r="821" spans="1:11" s="6" customFormat="1" ht="15.75">
      <c r="A821" s="1109"/>
      <c r="B821" s="1110"/>
      <c r="C821" s="1111"/>
      <c r="D821" s="417" t="s">
        <v>5</v>
      </c>
      <c r="E821" s="486" t="str">
        <f>E10</f>
        <v>2019</v>
      </c>
      <c r="F821" s="813" t="s">
        <v>8</v>
      </c>
      <c r="G821" s="485" t="s">
        <v>9</v>
      </c>
      <c r="H821" s="762" t="s">
        <v>1</v>
      </c>
      <c r="I821" s="813">
        <f>I10</f>
        <v>2021</v>
      </c>
      <c r="J821" s="778"/>
      <c r="K821" s="778"/>
    </row>
    <row r="822" spans="1:11" s="6" customFormat="1" ht="15.75">
      <c r="A822" s="1109"/>
      <c r="B822" s="1110"/>
      <c r="C822" s="1111"/>
      <c r="D822" s="417" t="s">
        <v>12</v>
      </c>
      <c r="E822" s="486" t="s">
        <v>14</v>
      </c>
      <c r="F822" s="813" t="s">
        <v>14</v>
      </c>
      <c r="G822" s="485" t="s">
        <v>15</v>
      </c>
      <c r="H822" s="763"/>
      <c r="I822" s="813" t="s">
        <v>182</v>
      </c>
      <c r="J822" s="778"/>
      <c r="K822" s="778"/>
    </row>
    <row r="823" spans="1:11" s="6" customFormat="1" ht="12.75">
      <c r="A823" s="1095" t="s">
        <v>183</v>
      </c>
      <c r="B823" s="1096"/>
      <c r="C823" s="1097"/>
      <c r="D823" s="422" t="s">
        <v>184</v>
      </c>
      <c r="E823" s="423" t="s">
        <v>185</v>
      </c>
      <c r="F823" s="832" t="s">
        <v>186</v>
      </c>
      <c r="G823" s="556" t="s">
        <v>187</v>
      </c>
      <c r="H823" s="556" t="s">
        <v>188</v>
      </c>
      <c r="I823" s="832" t="s">
        <v>189</v>
      </c>
      <c r="J823" s="778"/>
      <c r="K823" s="778"/>
    </row>
    <row r="824" spans="1:9" ht="15.75">
      <c r="A824" s="410"/>
      <c r="B824" s="411"/>
      <c r="C824" s="411"/>
      <c r="D824" s="506"/>
      <c r="E824" s="434"/>
      <c r="F824" s="815"/>
      <c r="G824" s="410"/>
      <c r="H824" s="410"/>
      <c r="I824" s="867"/>
    </row>
    <row r="825" spans="1:9" ht="15.75">
      <c r="A825" s="441">
        <v>1</v>
      </c>
      <c r="B825" s="430" t="s">
        <v>190</v>
      </c>
      <c r="C825" s="411"/>
      <c r="D825" s="488"/>
      <c r="E825" s="434"/>
      <c r="F825" s="815"/>
      <c r="G825" s="410"/>
      <c r="H825" s="568"/>
      <c r="I825" s="878"/>
    </row>
    <row r="826" spans="1:9" ht="15.75">
      <c r="A826" s="410"/>
      <c r="B826" s="507">
        <v>1.1</v>
      </c>
      <c r="C826" s="411" t="s">
        <v>159</v>
      </c>
      <c r="D826" s="488"/>
      <c r="E826" s="434"/>
      <c r="F826" s="815"/>
      <c r="G826" s="410"/>
      <c r="H826" s="410"/>
      <c r="I826" s="639"/>
    </row>
    <row r="827" spans="1:9" ht="15.75">
      <c r="A827" s="410"/>
      <c r="B827" s="411"/>
      <c r="C827" s="411" t="s">
        <v>52</v>
      </c>
      <c r="D827" s="488"/>
      <c r="E827" s="434">
        <v>1558337</v>
      </c>
      <c r="F827" s="637">
        <v>807324</v>
      </c>
      <c r="G827" s="434">
        <f aca="true" t="shared" si="22" ref="G827:G842">H827-F827</f>
        <v>809028</v>
      </c>
      <c r="H827" s="639">
        <v>1616352</v>
      </c>
      <c r="I827" s="639">
        <v>1744872</v>
      </c>
    </row>
    <row r="828" spans="1:9" ht="15.75">
      <c r="A828" s="410"/>
      <c r="B828" s="411"/>
      <c r="C828" s="411" t="s">
        <v>53</v>
      </c>
      <c r="D828" s="488"/>
      <c r="E828" s="434">
        <v>120000</v>
      </c>
      <c r="F828" s="637">
        <v>60000</v>
      </c>
      <c r="G828" s="434">
        <f t="shared" si="22"/>
        <v>60000</v>
      </c>
      <c r="H828" s="639">
        <f>2000*5*12</f>
        <v>120000</v>
      </c>
      <c r="I828" s="639">
        <f>2000*6*12</f>
        <v>144000</v>
      </c>
    </row>
    <row r="829" spans="1:9" ht="15.75">
      <c r="A829" s="410"/>
      <c r="B829" s="411"/>
      <c r="C829" s="411" t="s">
        <v>54</v>
      </c>
      <c r="D829" s="488"/>
      <c r="E829" s="434">
        <v>81000</v>
      </c>
      <c r="F829" s="637">
        <v>40500</v>
      </c>
      <c r="G829" s="434">
        <f t="shared" si="22"/>
        <v>40500</v>
      </c>
      <c r="H829" s="639">
        <v>81000</v>
      </c>
      <c r="I829" s="639">
        <v>81000</v>
      </c>
    </row>
    <row r="830" spans="1:9" ht="15.75">
      <c r="A830" s="410"/>
      <c r="B830" s="411"/>
      <c r="C830" s="411" t="s">
        <v>55</v>
      </c>
      <c r="D830" s="488"/>
      <c r="E830" s="434">
        <v>81000</v>
      </c>
      <c r="F830" s="637">
        <v>40500</v>
      </c>
      <c r="G830" s="434">
        <f t="shared" si="22"/>
        <v>40500</v>
      </c>
      <c r="H830" s="639">
        <v>81000</v>
      </c>
      <c r="I830" s="639">
        <v>81000</v>
      </c>
    </row>
    <row r="831" spans="1:9" ht="15.75">
      <c r="A831" s="410"/>
      <c r="B831" s="411"/>
      <c r="C831" s="411" t="s">
        <v>484</v>
      </c>
      <c r="D831" s="488"/>
      <c r="E831" s="434">
        <v>30000</v>
      </c>
      <c r="F831" s="637">
        <v>30000</v>
      </c>
      <c r="G831" s="434">
        <f t="shared" si="22"/>
        <v>0</v>
      </c>
      <c r="H831" s="639">
        <f>6000*5</f>
        <v>30000</v>
      </c>
      <c r="I831" s="639">
        <f>6000*6</f>
        <v>36000</v>
      </c>
    </row>
    <row r="832" spans="1:9" ht="15.75">
      <c r="A832" s="410"/>
      <c r="B832" s="411"/>
      <c r="C832" s="411" t="s">
        <v>0</v>
      </c>
      <c r="D832" s="488"/>
      <c r="E832" s="434">
        <v>129861.42</v>
      </c>
      <c r="F832" s="637">
        <v>0</v>
      </c>
      <c r="G832" s="434">
        <f t="shared" si="22"/>
        <v>134696</v>
      </c>
      <c r="H832" s="639">
        <v>134696</v>
      </c>
      <c r="I832" s="639">
        <f>I835</f>
        <v>145406</v>
      </c>
    </row>
    <row r="833" spans="1:9" ht="15.75">
      <c r="A833" s="410"/>
      <c r="B833" s="411"/>
      <c r="C833" s="411" t="s">
        <v>59</v>
      </c>
      <c r="D833" s="488"/>
      <c r="E833" s="434">
        <v>25000</v>
      </c>
      <c r="F833" s="637">
        <v>0</v>
      </c>
      <c r="G833" s="434">
        <f t="shared" si="22"/>
        <v>25000</v>
      </c>
      <c r="H833" s="639">
        <f>5000*5</f>
        <v>25000</v>
      </c>
      <c r="I833" s="639">
        <f>5000*6</f>
        <v>30000</v>
      </c>
    </row>
    <row r="834" spans="1:9" ht="15.75">
      <c r="A834" s="410"/>
      <c r="B834" s="411"/>
      <c r="C834" s="411" t="str">
        <f>C23</f>
        <v>Performance Base Bonus</v>
      </c>
      <c r="D834" s="488"/>
      <c r="E834" s="434">
        <v>130951.6</v>
      </c>
      <c r="F834" s="637">
        <v>84874.4</v>
      </c>
      <c r="G834" s="434">
        <f t="shared" si="22"/>
        <v>45838.600000000006</v>
      </c>
      <c r="H834" s="639">
        <f>1568556/12</f>
        <v>130713</v>
      </c>
      <c r="I834" s="639">
        <f>I827/12</f>
        <v>145406</v>
      </c>
    </row>
    <row r="835" spans="1:9" ht="15.75">
      <c r="A835" s="410"/>
      <c r="B835" s="411"/>
      <c r="C835" s="411" t="str">
        <f>C24</f>
        <v>Mid Year</v>
      </c>
      <c r="D835" s="488"/>
      <c r="E835" s="434">
        <v>129351</v>
      </c>
      <c r="F835" s="637">
        <v>134554</v>
      </c>
      <c r="G835" s="434">
        <f t="shared" si="22"/>
        <v>142</v>
      </c>
      <c r="H835" s="639">
        <v>134696</v>
      </c>
      <c r="I835" s="639">
        <f>I834</f>
        <v>145406</v>
      </c>
    </row>
    <row r="836" spans="1:9" ht="15.75">
      <c r="A836" s="410"/>
      <c r="B836" s="411"/>
      <c r="C836" s="411" t="s">
        <v>485</v>
      </c>
      <c r="D836" s="490"/>
      <c r="E836" s="434">
        <v>185679.12</v>
      </c>
      <c r="F836" s="637">
        <v>96878.88</v>
      </c>
      <c r="G836" s="434">
        <f t="shared" si="22"/>
        <v>97083.35999999999</v>
      </c>
      <c r="H836" s="639">
        <v>193962.24</v>
      </c>
      <c r="I836" s="639">
        <f>I827*12%</f>
        <v>209384.63999999998</v>
      </c>
    </row>
    <row r="837" spans="1:9" ht="15.75">
      <c r="A837" s="410"/>
      <c r="B837" s="411"/>
      <c r="C837" s="411" t="s">
        <v>61</v>
      </c>
      <c r="D837" s="490"/>
      <c r="E837" s="434">
        <v>10719.84</v>
      </c>
      <c r="F837" s="637">
        <v>3393.32</v>
      </c>
      <c r="G837" s="434">
        <f t="shared" si="22"/>
        <v>28933.72</v>
      </c>
      <c r="H837" s="639">
        <v>32327.04</v>
      </c>
      <c r="I837" s="639">
        <f>600*12</f>
        <v>7200</v>
      </c>
    </row>
    <row r="838" spans="1:9" ht="15.75">
      <c r="A838" s="410"/>
      <c r="B838" s="411"/>
      <c r="C838" s="411" t="s">
        <v>62</v>
      </c>
      <c r="D838" s="490"/>
      <c r="E838" s="434">
        <v>15531.06</v>
      </c>
      <c r="F838" s="637">
        <v>10432.92</v>
      </c>
      <c r="G838" s="434">
        <f t="shared" si="22"/>
        <v>13812.37</v>
      </c>
      <c r="H838" s="639">
        <v>24245.29</v>
      </c>
      <c r="I838" s="639">
        <f>I827*1.75%</f>
        <v>30535.260000000002</v>
      </c>
    </row>
    <row r="839" spans="1:9" ht="15.75">
      <c r="A839" s="410"/>
      <c r="B839" s="411"/>
      <c r="C839" s="411" t="s">
        <v>262</v>
      </c>
      <c r="D839" s="490"/>
      <c r="E839" s="434">
        <v>6000</v>
      </c>
      <c r="F839" s="637">
        <v>3000</v>
      </c>
      <c r="G839" s="434">
        <f t="shared" si="22"/>
        <v>3000</v>
      </c>
      <c r="H839" s="639">
        <f>500*12</f>
        <v>6000</v>
      </c>
      <c r="I839" s="639">
        <f>600*12</f>
        <v>7200</v>
      </c>
    </row>
    <row r="840" spans="1:9" ht="15.75">
      <c r="A840" s="410"/>
      <c r="B840" s="411"/>
      <c r="C840" s="411" t="s">
        <v>66</v>
      </c>
      <c r="D840" s="490"/>
      <c r="E840" s="434">
        <v>125000</v>
      </c>
      <c r="F840" s="637">
        <v>49247.3</v>
      </c>
      <c r="G840" s="434">
        <f t="shared" si="22"/>
        <v>253233.13</v>
      </c>
      <c r="H840" s="639">
        <v>302480.43</v>
      </c>
      <c r="I840" s="639">
        <f>20000*6</f>
        <v>120000</v>
      </c>
    </row>
    <row r="841" spans="1:9" ht="15.75">
      <c r="A841" s="410"/>
      <c r="B841" s="411"/>
      <c r="C841" s="411" t="str">
        <f>C31</f>
        <v>Productivity Enhancement Incentive</v>
      </c>
      <c r="D841" s="488"/>
      <c r="E841" s="434">
        <v>25000</v>
      </c>
      <c r="F841" s="637">
        <v>0</v>
      </c>
      <c r="G841" s="434">
        <f t="shared" si="22"/>
        <v>25000</v>
      </c>
      <c r="H841" s="639">
        <f>5000*5</f>
        <v>25000</v>
      </c>
      <c r="I841" s="639">
        <f>5000*6</f>
        <v>30000</v>
      </c>
    </row>
    <row r="842" spans="1:9" ht="15.75">
      <c r="A842" s="410"/>
      <c r="B842" s="411"/>
      <c r="C842" s="411" t="s">
        <v>294</v>
      </c>
      <c r="D842" s="490"/>
      <c r="E842" s="434">
        <v>56304.33</v>
      </c>
      <c r="F842" s="637"/>
      <c r="G842" s="434">
        <f t="shared" si="22"/>
        <v>0</v>
      </c>
      <c r="H842" s="639"/>
      <c r="I842" s="639">
        <v>344904.75</v>
      </c>
    </row>
    <row r="843" spans="1:9" ht="15.75">
      <c r="A843" s="410"/>
      <c r="B843" s="411"/>
      <c r="C843" s="411" t="s">
        <v>67</v>
      </c>
      <c r="D843" s="490"/>
      <c r="E843" s="436">
        <f>SUM(E827:E842)</f>
        <v>2709735.37</v>
      </c>
      <c r="F843" s="636">
        <f>SUM(F827:F842)</f>
        <v>1360704.8199999998</v>
      </c>
      <c r="G843" s="436">
        <f>SUM(G827:G842)</f>
        <v>1576767.1800000002</v>
      </c>
      <c r="H843" s="436">
        <f>SUM(H827:H842)</f>
        <v>2937472.0000000005</v>
      </c>
      <c r="I843" s="636">
        <f>SUM(I827:I842)</f>
        <v>3302314.65</v>
      </c>
    </row>
    <row r="844" spans="1:9" ht="15.75">
      <c r="A844" s="410"/>
      <c r="B844" s="411"/>
      <c r="C844" s="411"/>
      <c r="D844" s="488"/>
      <c r="E844" s="413"/>
      <c r="F844" s="739"/>
      <c r="G844" s="434"/>
      <c r="H844" s="434"/>
      <c r="I844" s="637"/>
    </row>
    <row r="845" spans="1:9" ht="15.75">
      <c r="A845" s="410"/>
      <c r="B845" s="507">
        <v>1.2</v>
      </c>
      <c r="C845" s="411" t="s">
        <v>191</v>
      </c>
      <c r="D845" s="488"/>
      <c r="E845" s="413"/>
      <c r="F845" s="637"/>
      <c r="G845" s="434"/>
      <c r="H845" s="434"/>
      <c r="I845" s="637"/>
    </row>
    <row r="846" spans="1:9" ht="15.75">
      <c r="A846" s="410"/>
      <c r="B846" s="411"/>
      <c r="C846" s="411" t="s">
        <v>199</v>
      </c>
      <c r="D846" s="488"/>
      <c r="E846" s="413"/>
      <c r="F846" s="637"/>
      <c r="G846" s="434"/>
      <c r="H846" s="434"/>
      <c r="I846" s="637"/>
    </row>
    <row r="847" spans="1:9" ht="15.75">
      <c r="A847" s="410"/>
      <c r="B847" s="411"/>
      <c r="C847" s="411"/>
      <c r="D847" s="488"/>
      <c r="E847" s="413"/>
      <c r="F847" s="637"/>
      <c r="G847" s="434"/>
      <c r="H847" s="434"/>
      <c r="I847" s="638"/>
    </row>
    <row r="848" spans="1:9" ht="15.75">
      <c r="A848" s="410"/>
      <c r="B848" s="411"/>
      <c r="C848" s="411" t="s">
        <v>69</v>
      </c>
      <c r="D848" s="488"/>
      <c r="E848" s="438">
        <v>239999.08</v>
      </c>
      <c r="F848" s="802">
        <v>34000</v>
      </c>
      <c r="G848" s="434">
        <f aca="true" t="shared" si="23" ref="G848:G855">H848-F848</f>
        <v>206000</v>
      </c>
      <c r="H848" s="637">
        <v>240000</v>
      </c>
      <c r="I848" s="637">
        <v>50000</v>
      </c>
    </row>
    <row r="849" spans="1:9" ht="15.75">
      <c r="A849" s="410"/>
      <c r="B849" s="411"/>
      <c r="C849" s="411" t="s">
        <v>176</v>
      </c>
      <c r="D849" s="488"/>
      <c r="E849" s="438">
        <v>100940</v>
      </c>
      <c r="F849" s="802">
        <v>0</v>
      </c>
      <c r="G849" s="434">
        <f t="shared" si="23"/>
        <v>117000</v>
      </c>
      <c r="H849" s="637">
        <v>117000</v>
      </c>
      <c r="I849" s="637">
        <v>50000</v>
      </c>
    </row>
    <row r="850" spans="1:9" ht="15.75">
      <c r="A850" s="410"/>
      <c r="B850" s="411"/>
      <c r="C850" s="411" t="s">
        <v>70</v>
      </c>
      <c r="D850" s="490"/>
      <c r="E850" s="434">
        <v>173690</v>
      </c>
      <c r="F850" s="637">
        <v>0</v>
      </c>
      <c r="G850" s="434">
        <f>H850-F850</f>
        <v>150000</v>
      </c>
      <c r="H850" s="637">
        <v>150000</v>
      </c>
      <c r="I850" s="637">
        <v>150000</v>
      </c>
    </row>
    <row r="851" spans="1:9" ht="15.75">
      <c r="A851" s="410"/>
      <c r="B851" s="411"/>
      <c r="C851" s="411" t="s">
        <v>97</v>
      </c>
      <c r="D851" s="490"/>
      <c r="E851" s="434">
        <v>24000</v>
      </c>
      <c r="F851" s="637">
        <v>12000</v>
      </c>
      <c r="G851" s="434">
        <f t="shared" si="23"/>
        <v>12000</v>
      </c>
      <c r="H851" s="637">
        <v>24000</v>
      </c>
      <c r="I851" s="637">
        <v>24000</v>
      </c>
    </row>
    <row r="852" spans="1:9" ht="15.75">
      <c r="A852" s="410"/>
      <c r="B852" s="411"/>
      <c r="C852" s="411" t="s">
        <v>265</v>
      </c>
      <c r="D852" s="490"/>
      <c r="E852" s="434">
        <v>50000</v>
      </c>
      <c r="F852" s="637">
        <v>23207.2</v>
      </c>
      <c r="G852" s="434">
        <f t="shared" si="23"/>
        <v>26792.8</v>
      </c>
      <c r="H852" s="637">
        <v>50000</v>
      </c>
      <c r="I852" s="637">
        <v>50000</v>
      </c>
    </row>
    <row r="853" spans="1:9" ht="15.75">
      <c r="A853" s="410"/>
      <c r="B853" s="411"/>
      <c r="C853" s="411" t="s">
        <v>220</v>
      </c>
      <c r="D853" s="490"/>
      <c r="E853" s="434"/>
      <c r="F853" s="637"/>
      <c r="G853" s="434">
        <f t="shared" si="23"/>
        <v>50000</v>
      </c>
      <c r="H853" s="637">
        <v>50000</v>
      </c>
      <c r="I853" s="637">
        <v>0</v>
      </c>
    </row>
    <row r="854" spans="1:9" ht="15.75">
      <c r="A854" s="410"/>
      <c r="B854" s="411"/>
      <c r="C854" s="411" t="s">
        <v>521</v>
      </c>
      <c r="D854" s="490"/>
      <c r="E854" s="434"/>
      <c r="F854" s="637"/>
      <c r="G854" s="434"/>
      <c r="H854" s="637"/>
      <c r="I854" s="637">
        <v>50000</v>
      </c>
    </row>
    <row r="855" spans="1:9" ht="15.75">
      <c r="A855" s="410"/>
      <c r="B855" s="411"/>
      <c r="C855" s="411" t="s">
        <v>221</v>
      </c>
      <c r="D855" s="490"/>
      <c r="E855" s="434">
        <v>26220</v>
      </c>
      <c r="F855" s="637"/>
      <c r="G855" s="434">
        <f t="shared" si="23"/>
        <v>50000</v>
      </c>
      <c r="H855" s="637">
        <v>50000</v>
      </c>
      <c r="I855" s="637">
        <v>50000</v>
      </c>
    </row>
    <row r="856" spans="1:9" ht="15.75">
      <c r="A856" s="410"/>
      <c r="B856" s="411"/>
      <c r="C856" s="563" t="s">
        <v>192</v>
      </c>
      <c r="D856" s="488"/>
      <c r="E856" s="1121">
        <f>SUM(E848:E855)</f>
        <v>614849.08</v>
      </c>
      <c r="F856" s="820"/>
      <c r="G856" s="1123">
        <f>SUM(G848:G855)</f>
        <v>611792.8</v>
      </c>
      <c r="H856" s="766"/>
      <c r="I856" s="1125">
        <f>SUM(I848:I855)</f>
        <v>424000</v>
      </c>
    </row>
    <row r="857" spans="1:9" ht="15.75">
      <c r="A857" s="410"/>
      <c r="B857" s="411"/>
      <c r="C857" s="563" t="s">
        <v>193</v>
      </c>
      <c r="D857" s="488"/>
      <c r="E857" s="1122"/>
      <c r="F857" s="774">
        <f>SUM(F848:F856)</f>
        <v>69207.2</v>
      </c>
      <c r="G857" s="1124"/>
      <c r="H857" s="767">
        <f>SUM(H848:H856)</f>
        <v>681000</v>
      </c>
      <c r="I857" s="1126"/>
    </row>
    <row r="858" spans="1:9" ht="15.75">
      <c r="A858" s="410"/>
      <c r="B858" s="411"/>
      <c r="C858" s="411"/>
      <c r="D858" s="488"/>
      <c r="E858" s="434"/>
      <c r="F858" s="639"/>
      <c r="G858" s="440"/>
      <c r="H858" s="440"/>
      <c r="I858" s="639"/>
    </row>
    <row r="859" spans="1:9" ht="15.75">
      <c r="A859" s="441">
        <v>2</v>
      </c>
      <c r="B859" s="411" t="s">
        <v>89</v>
      </c>
      <c r="C859" s="411"/>
      <c r="D859" s="488"/>
      <c r="E859" s="434"/>
      <c r="F859" s="639"/>
      <c r="G859" s="440"/>
      <c r="H859" s="440"/>
      <c r="I859" s="639"/>
    </row>
    <row r="860" spans="1:9" ht="15.75">
      <c r="A860" s="441"/>
      <c r="B860" s="411"/>
      <c r="C860" s="411" t="s">
        <v>194</v>
      </c>
      <c r="D860" s="488"/>
      <c r="E860" s="434">
        <v>35000</v>
      </c>
      <c r="F860" s="639"/>
      <c r="G860" s="440">
        <f>H860-F860</f>
        <v>0</v>
      </c>
      <c r="H860" s="440"/>
      <c r="I860" s="639"/>
    </row>
    <row r="861" spans="1:9" ht="15.75">
      <c r="A861" s="410"/>
      <c r="B861" s="411"/>
      <c r="C861" s="411" t="s">
        <v>94</v>
      </c>
      <c r="D861" s="500"/>
      <c r="E861" s="436">
        <f>SUM(E860:E860)</f>
        <v>35000</v>
      </c>
      <c r="F861" s="775">
        <f>SUM(F860:F860)</f>
        <v>0</v>
      </c>
      <c r="G861" s="766">
        <f>SUM(G860:G860)</f>
        <v>0</v>
      </c>
      <c r="H861" s="766">
        <f>SUM(H860:H860)</f>
        <v>0</v>
      </c>
      <c r="I861" s="820">
        <f>SUM(I860:I860)</f>
        <v>0</v>
      </c>
    </row>
    <row r="862" spans="1:9" ht="15.75">
      <c r="A862" s="480" t="s">
        <v>222</v>
      </c>
      <c r="B862" s="407"/>
      <c r="C862" s="407"/>
      <c r="D862" s="569"/>
      <c r="E862" s="544">
        <f>+E861+E856+E843</f>
        <v>3359584.45</v>
      </c>
      <c r="F862" s="819">
        <f>F861+F857+F843</f>
        <v>1429912.0199999998</v>
      </c>
      <c r="G862" s="495">
        <f>G861+G856+G843</f>
        <v>2188559.9800000004</v>
      </c>
      <c r="H862" s="495">
        <f>H843+H857+H861</f>
        <v>3618472.0000000005</v>
      </c>
      <c r="I862" s="819">
        <f>I843+I856+I861</f>
        <v>3726314.65</v>
      </c>
    </row>
    <row r="863" spans="1:9" ht="15.75">
      <c r="A863" s="480"/>
      <c r="B863" s="558"/>
      <c r="C863" s="559"/>
      <c r="D863" s="567"/>
      <c r="E863" s="561"/>
      <c r="F863" s="833"/>
      <c r="G863" s="758"/>
      <c r="H863" s="758"/>
      <c r="I863" s="819"/>
    </row>
    <row r="864" spans="1:9" ht="15.75">
      <c r="A864" s="414"/>
      <c r="B864" s="563"/>
      <c r="C864" s="462"/>
      <c r="D864" s="560"/>
      <c r="E864" s="511"/>
      <c r="F864" s="248"/>
      <c r="G864" s="570"/>
      <c r="H864" s="563"/>
      <c r="I864" s="641"/>
    </row>
    <row r="865" spans="1:9" ht="18">
      <c r="A865" s="460" t="s">
        <v>196</v>
      </c>
      <c r="B865" s="461"/>
      <c r="C865" s="462"/>
      <c r="D865" s="463"/>
      <c r="E865" s="464" t="s">
        <v>197</v>
      </c>
      <c r="F865" s="16"/>
      <c r="G865" s="465"/>
      <c r="H865" s="465" t="s">
        <v>198</v>
      </c>
      <c r="I865" s="862"/>
    </row>
    <row r="866" spans="1:9" ht="18">
      <c r="A866" s="460"/>
      <c r="B866" s="465"/>
      <c r="C866" s="465"/>
      <c r="D866" s="463"/>
      <c r="E866" s="467"/>
      <c r="F866" s="16"/>
      <c r="G866" s="465"/>
      <c r="H866" s="465"/>
      <c r="I866" s="862"/>
    </row>
    <row r="867" spans="1:9" ht="18">
      <c r="A867" s="460"/>
      <c r="B867" s="465"/>
      <c r="C867" s="465"/>
      <c r="D867" s="463"/>
      <c r="E867" s="525"/>
      <c r="F867" s="16"/>
      <c r="G867" s="465"/>
      <c r="H867" s="465"/>
      <c r="I867" s="249"/>
    </row>
    <row r="868" spans="1:9" ht="18">
      <c r="A868" s="460"/>
      <c r="B868" s="465"/>
      <c r="C868" s="465"/>
      <c r="D868" s="463"/>
      <c r="E868" s="467"/>
      <c r="F868" s="16"/>
      <c r="G868" s="465"/>
      <c r="H868" s="465"/>
      <c r="I868" s="249"/>
    </row>
    <row r="869" spans="1:9" ht="18">
      <c r="A869" s="460" t="s">
        <v>223</v>
      </c>
      <c r="B869" s="465"/>
      <c r="C869" s="465"/>
      <c r="D869" s="463"/>
      <c r="E869" s="464" t="str">
        <f>E116</f>
        <v>JANE B. LARIOSA</v>
      </c>
      <c r="F869" s="16"/>
      <c r="G869" s="1091" t="str">
        <f>G116</f>
        <v>WILLIAM E. CALVEZ, CE</v>
      </c>
      <c r="H869" s="1091"/>
      <c r="I869" s="1092"/>
    </row>
    <row r="870" spans="1:9" ht="18">
      <c r="A870" s="555" t="s">
        <v>224</v>
      </c>
      <c r="B870" s="471"/>
      <c r="C870" s="471"/>
      <c r="D870" s="504"/>
      <c r="E870" s="505" t="str">
        <f>E117</f>
        <v>AO II/OIC MBO</v>
      </c>
      <c r="F870" s="16"/>
      <c r="G870" s="1104" t="s">
        <v>155</v>
      </c>
      <c r="H870" s="1104"/>
      <c r="I870" s="1105"/>
    </row>
    <row r="871" spans="1:9" ht="18">
      <c r="A871" s="1127"/>
      <c r="B871" s="1128"/>
      <c r="C871" s="1128"/>
      <c r="D871" s="463"/>
      <c r="E871" s="467" t="s">
        <v>225</v>
      </c>
      <c r="F871" s="16"/>
      <c r="G871" s="465"/>
      <c r="H871" s="465"/>
      <c r="I871" s="249"/>
    </row>
    <row r="872" spans="1:9" ht="15.75">
      <c r="A872" s="571"/>
      <c r="B872" s="572"/>
      <c r="C872" s="572"/>
      <c r="D872" s="564"/>
      <c r="E872" s="573"/>
      <c r="F872" s="835"/>
      <c r="G872" s="572"/>
      <c r="H872" s="572"/>
      <c r="I872" s="879"/>
    </row>
    <row r="873" spans="1:9" ht="15.75">
      <c r="A873" s="574"/>
      <c r="B873" s="574"/>
      <c r="C873" s="574"/>
      <c r="D873" s="412"/>
      <c r="E873" s="575"/>
      <c r="F873" s="836"/>
      <c r="G873" s="574"/>
      <c r="H873" s="574"/>
      <c r="I873" s="836"/>
    </row>
    <row r="874" spans="1:9" ht="15.75">
      <c r="A874" s="576"/>
      <c r="B874" s="576"/>
      <c r="C874" s="576"/>
      <c r="D874" s="577"/>
      <c r="E874" s="492"/>
      <c r="F874" s="837"/>
      <c r="G874" s="576"/>
      <c r="H874" s="576"/>
      <c r="I874" s="837"/>
    </row>
    <row r="875" spans="1:9" ht="15.75">
      <c r="A875" s="576"/>
      <c r="B875" s="576"/>
      <c r="C875" s="576"/>
      <c r="D875" s="577"/>
      <c r="E875" s="492"/>
      <c r="F875" s="837"/>
      <c r="G875" s="576"/>
      <c r="H875" s="576"/>
      <c r="I875" s="837"/>
    </row>
    <row r="876" spans="1:9" ht="15.75">
      <c r="A876" s="576"/>
      <c r="B876" s="576"/>
      <c r="C876" s="576"/>
      <c r="D876" s="577"/>
      <c r="E876" s="492"/>
      <c r="F876" s="837"/>
      <c r="G876" s="576"/>
      <c r="H876" s="576"/>
      <c r="I876" s="837"/>
    </row>
    <row r="877" spans="1:9" ht="15.75">
      <c r="A877" s="576"/>
      <c r="B877" s="576"/>
      <c r="C877" s="576"/>
      <c r="D877" s="577"/>
      <c r="E877" s="492"/>
      <c r="F877" s="837"/>
      <c r="G877" s="576"/>
      <c r="H877" s="576"/>
      <c r="I877" s="837"/>
    </row>
    <row r="878" spans="1:9" ht="15.75">
      <c r="A878" s="576"/>
      <c r="B878" s="576"/>
      <c r="C878" s="576"/>
      <c r="D878" s="577"/>
      <c r="E878" s="492"/>
      <c r="F878" s="837"/>
      <c r="G878" s="576"/>
      <c r="H878" s="576"/>
      <c r="I878" s="837"/>
    </row>
    <row r="879" spans="1:9" ht="15.75">
      <c r="A879" s="576"/>
      <c r="B879" s="576"/>
      <c r="C879" s="576"/>
      <c r="D879" s="577"/>
      <c r="E879" s="492"/>
      <c r="F879" s="837"/>
      <c r="G879" s="576"/>
      <c r="H879" s="576"/>
      <c r="I879" s="837"/>
    </row>
    <row r="880" spans="1:9" ht="15.75">
      <c r="A880" s="576"/>
      <c r="B880" s="576"/>
      <c r="C880" s="576"/>
      <c r="D880" s="577"/>
      <c r="E880" s="492"/>
      <c r="F880" s="837"/>
      <c r="G880" s="576"/>
      <c r="H880" s="576"/>
      <c r="I880" s="837"/>
    </row>
    <row r="881" spans="1:9" ht="15.75">
      <c r="A881" s="576"/>
      <c r="B881" s="576"/>
      <c r="C881" s="576"/>
      <c r="D881" s="577"/>
      <c r="E881" s="492"/>
      <c r="F881" s="837"/>
      <c r="G881" s="576"/>
      <c r="H881" s="576"/>
      <c r="I881" s="837"/>
    </row>
    <row r="882" spans="1:9" ht="15.75">
      <c r="A882" s="576"/>
      <c r="B882" s="576"/>
      <c r="C882" s="576"/>
      <c r="D882" s="577"/>
      <c r="E882" s="492"/>
      <c r="F882" s="837"/>
      <c r="G882" s="576"/>
      <c r="H882" s="576"/>
      <c r="I882" s="837"/>
    </row>
    <row r="883" spans="1:9" ht="15.75">
      <c r="A883" s="576"/>
      <c r="B883" s="576"/>
      <c r="C883" s="576"/>
      <c r="D883" s="577"/>
      <c r="E883" s="492"/>
      <c r="F883" s="837"/>
      <c r="G883" s="576"/>
      <c r="H883" s="576"/>
      <c r="I883" s="837"/>
    </row>
    <row r="884" spans="1:9" ht="15.75">
      <c r="A884" s="576"/>
      <c r="B884" s="576"/>
      <c r="C884" s="576"/>
      <c r="D884" s="577"/>
      <c r="E884" s="492"/>
      <c r="F884" s="837"/>
      <c r="G884" s="576"/>
      <c r="H884" s="576"/>
      <c r="I884" s="837"/>
    </row>
    <row r="885" spans="1:9" ht="15.75">
      <c r="A885" s="576"/>
      <c r="B885" s="576"/>
      <c r="C885" s="576"/>
      <c r="D885" s="577"/>
      <c r="E885" s="492"/>
      <c r="F885" s="837"/>
      <c r="G885" s="576"/>
      <c r="H885" s="576"/>
      <c r="I885" s="837"/>
    </row>
    <row r="886" spans="1:9" ht="15.75">
      <c r="A886" s="480" t="str">
        <f>A3</f>
        <v>LBP Form No. 2</v>
      </c>
      <c r="B886" s="407"/>
      <c r="C886" s="407"/>
      <c r="D886" s="408"/>
      <c r="E886" s="409"/>
      <c r="F886" s="797"/>
      <c r="G886" s="407"/>
      <c r="H886" s="407"/>
      <c r="I886" s="854"/>
    </row>
    <row r="887" spans="1:9" ht="15.75">
      <c r="A887" s="410"/>
      <c r="B887" s="411"/>
      <c r="C887" s="411"/>
      <c r="D887" s="412"/>
      <c r="E887" s="413"/>
      <c r="F887" s="11"/>
      <c r="G887" s="411"/>
      <c r="H887" s="411"/>
      <c r="I887" s="855"/>
    </row>
    <row r="888" spans="1:9" ht="15.75">
      <c r="A888" s="1106" t="str">
        <f>A5</f>
        <v>PROGRAMMED APPROPRIATION AND OBLIGATION BY OBJECT OF EXPENDITURE</v>
      </c>
      <c r="B888" s="1107"/>
      <c r="C888" s="1107"/>
      <c r="D888" s="1107"/>
      <c r="E888" s="1107"/>
      <c r="F888" s="1107"/>
      <c r="G888" s="1107"/>
      <c r="H888" s="1107"/>
      <c r="I888" s="1108"/>
    </row>
    <row r="889" spans="1:9" ht="15.75">
      <c r="A889" s="1109" t="str">
        <f>A6</f>
        <v>Municipality of Trento</v>
      </c>
      <c r="B889" s="1110"/>
      <c r="C889" s="1110"/>
      <c r="D889" s="1110"/>
      <c r="E889" s="1110"/>
      <c r="F889" s="1110"/>
      <c r="G889" s="1110"/>
      <c r="H889" s="1110"/>
      <c r="I889" s="1111"/>
    </row>
    <row r="890" spans="1:9" ht="15.75">
      <c r="A890" s="414" t="s">
        <v>475</v>
      </c>
      <c r="B890" s="411"/>
      <c r="C890" s="411"/>
      <c r="D890" s="412"/>
      <c r="E890" s="413"/>
      <c r="F890" s="11"/>
      <c r="G890" s="411"/>
      <c r="H890" s="411"/>
      <c r="I890" s="855"/>
    </row>
    <row r="891" spans="1:9" ht="15.75">
      <c r="A891" s="410"/>
      <c r="B891" s="411"/>
      <c r="C891" s="411"/>
      <c r="D891" s="412"/>
      <c r="E891" s="413"/>
      <c r="F891" s="11"/>
      <c r="G891" s="411"/>
      <c r="H891" s="411"/>
      <c r="I891" s="855"/>
    </row>
    <row r="892" spans="1:11" s="6" customFormat="1" ht="15.75">
      <c r="A892" s="1112" t="s">
        <v>181</v>
      </c>
      <c r="B892" s="1113"/>
      <c r="C892" s="1114"/>
      <c r="D892" s="530"/>
      <c r="E892" s="416" t="s">
        <v>7</v>
      </c>
      <c r="F892" s="1115" t="str">
        <f>F9</f>
        <v>Current Year 2020 (Estimate)</v>
      </c>
      <c r="G892" s="1116"/>
      <c r="H892" s="1117"/>
      <c r="I892" s="856" t="s">
        <v>10</v>
      </c>
      <c r="J892" s="778"/>
      <c r="K892" s="778"/>
    </row>
    <row r="893" spans="1:11" s="6" customFormat="1" ht="15.75">
      <c r="A893" s="1109"/>
      <c r="B893" s="1110"/>
      <c r="C893" s="1111"/>
      <c r="D893" s="417" t="s">
        <v>5</v>
      </c>
      <c r="E893" s="486" t="str">
        <f>E10</f>
        <v>2019</v>
      </c>
      <c r="F893" s="813" t="s">
        <v>8</v>
      </c>
      <c r="G893" s="485" t="s">
        <v>9</v>
      </c>
      <c r="H893" s="1118" t="s">
        <v>1</v>
      </c>
      <c r="I893" s="813">
        <f>I10</f>
        <v>2021</v>
      </c>
      <c r="J893" s="778"/>
      <c r="K893" s="778"/>
    </row>
    <row r="894" spans="1:11" s="6" customFormat="1" ht="15.75">
      <c r="A894" s="1109"/>
      <c r="B894" s="1110"/>
      <c r="C894" s="1111"/>
      <c r="D894" s="417" t="s">
        <v>12</v>
      </c>
      <c r="E894" s="486" t="s">
        <v>14</v>
      </c>
      <c r="F894" s="813" t="s">
        <v>14</v>
      </c>
      <c r="G894" s="485" t="s">
        <v>15</v>
      </c>
      <c r="H894" s="1119"/>
      <c r="I894" s="813" t="s">
        <v>182</v>
      </c>
      <c r="J894" s="778"/>
      <c r="K894" s="778"/>
    </row>
    <row r="895" spans="1:11" s="6" customFormat="1" ht="12.75">
      <c r="A895" s="1095" t="s">
        <v>183</v>
      </c>
      <c r="B895" s="1096"/>
      <c r="C895" s="1097"/>
      <c r="D895" s="422" t="s">
        <v>184</v>
      </c>
      <c r="E895" s="423" t="s">
        <v>185</v>
      </c>
      <c r="F895" s="832" t="s">
        <v>186</v>
      </c>
      <c r="G895" s="556" t="s">
        <v>187</v>
      </c>
      <c r="H895" s="556" t="s">
        <v>188</v>
      </c>
      <c r="I895" s="832" t="s">
        <v>189</v>
      </c>
      <c r="J895" s="778"/>
      <c r="K895" s="778"/>
    </row>
    <row r="896" spans="1:9" ht="15.75">
      <c r="A896" s="410"/>
      <c r="B896" s="411"/>
      <c r="C896" s="411"/>
      <c r="D896" s="506"/>
      <c r="E896" s="434"/>
      <c r="F896" s="815"/>
      <c r="G896" s="410"/>
      <c r="H896" s="410"/>
      <c r="I896" s="867"/>
    </row>
    <row r="897" spans="1:9" ht="15.75">
      <c r="A897" s="441">
        <v>1</v>
      </c>
      <c r="B897" s="430" t="s">
        <v>190</v>
      </c>
      <c r="C897" s="411"/>
      <c r="D897" s="488"/>
      <c r="E897" s="434"/>
      <c r="F897" s="815"/>
      <c r="G897" s="410"/>
      <c r="H897" s="410"/>
      <c r="I897" s="639"/>
    </row>
    <row r="898" spans="1:9" ht="15.75">
      <c r="A898" s="410"/>
      <c r="B898" s="507">
        <v>1.1</v>
      </c>
      <c r="C898" s="411" t="s">
        <v>159</v>
      </c>
      <c r="D898" s="488"/>
      <c r="E898" s="434"/>
      <c r="F898" s="815"/>
      <c r="G898" s="410"/>
      <c r="H898" s="410"/>
      <c r="I898" s="821"/>
    </row>
    <row r="899" spans="1:9" ht="15.75">
      <c r="A899" s="410"/>
      <c r="B899" s="411"/>
      <c r="C899" s="411" t="s">
        <v>52</v>
      </c>
      <c r="D899" s="488"/>
      <c r="E899" s="434">
        <v>3700337.18</v>
      </c>
      <c r="F899" s="637">
        <v>1829865.44</v>
      </c>
      <c r="G899" s="434">
        <f aca="true" t="shared" si="24" ref="G899:G916">H899-F899</f>
        <v>2518274.56</v>
      </c>
      <c r="H899" s="639">
        <v>4348140</v>
      </c>
      <c r="I899" s="639">
        <v>5508193</v>
      </c>
    </row>
    <row r="900" spans="1:9" ht="15.75">
      <c r="A900" s="410"/>
      <c r="B900" s="411"/>
      <c r="C900" s="411" t="s">
        <v>53</v>
      </c>
      <c r="D900" s="488"/>
      <c r="E900" s="434">
        <v>359499.82</v>
      </c>
      <c r="F900" s="637">
        <v>176982.7</v>
      </c>
      <c r="G900" s="434">
        <f t="shared" si="24"/>
        <v>279017.3</v>
      </c>
      <c r="H900" s="639">
        <f>2000*19*12</f>
        <v>456000</v>
      </c>
      <c r="I900" s="639">
        <f>2000*26*12</f>
        <v>624000</v>
      </c>
    </row>
    <row r="901" spans="1:9" ht="15.75">
      <c r="A901" s="410"/>
      <c r="B901" s="411"/>
      <c r="C901" s="411" t="s">
        <v>54</v>
      </c>
      <c r="D901" s="488"/>
      <c r="E901" s="434">
        <v>81000</v>
      </c>
      <c r="F901" s="637">
        <v>54000</v>
      </c>
      <c r="G901" s="434">
        <f t="shared" si="24"/>
        <v>27000</v>
      </c>
      <c r="H901" s="639">
        <v>81000</v>
      </c>
      <c r="I901" s="639">
        <v>81000</v>
      </c>
    </row>
    <row r="902" spans="1:9" ht="15.75">
      <c r="A902" s="410"/>
      <c r="B902" s="411"/>
      <c r="C902" s="411" t="s">
        <v>55</v>
      </c>
      <c r="D902" s="488"/>
      <c r="E902" s="434">
        <v>81000</v>
      </c>
      <c r="F902" s="637">
        <v>54000</v>
      </c>
      <c r="G902" s="434">
        <f t="shared" si="24"/>
        <v>27000</v>
      </c>
      <c r="H902" s="639">
        <v>81000</v>
      </c>
      <c r="I902" s="639">
        <v>81000</v>
      </c>
    </row>
    <row r="903" spans="1:9" ht="15.75">
      <c r="A903" s="410"/>
      <c r="B903" s="411"/>
      <c r="C903" s="411" t="s">
        <v>484</v>
      </c>
      <c r="D903" s="488"/>
      <c r="E903" s="434">
        <v>84000</v>
      </c>
      <c r="F903" s="637">
        <v>84000</v>
      </c>
      <c r="G903" s="434">
        <f t="shared" si="24"/>
        <v>30000</v>
      </c>
      <c r="H903" s="639">
        <f>6000*19</f>
        <v>114000</v>
      </c>
      <c r="I903" s="639">
        <f>6000*26</f>
        <v>156000</v>
      </c>
    </row>
    <row r="904" spans="1:9" ht="15.75">
      <c r="A904" s="410"/>
      <c r="B904" s="411"/>
      <c r="C904" s="411" t="s">
        <v>0</v>
      </c>
      <c r="D904" s="488"/>
      <c r="E904" s="434">
        <v>282743</v>
      </c>
      <c r="F904" s="637">
        <v>0</v>
      </c>
      <c r="G904" s="434">
        <f t="shared" si="24"/>
        <v>362345</v>
      </c>
      <c r="H904" s="639">
        <v>362345</v>
      </c>
      <c r="I904" s="639">
        <f>I907</f>
        <v>459016.08</v>
      </c>
    </row>
    <row r="905" spans="1:9" ht="15.75">
      <c r="A905" s="410"/>
      <c r="B905" s="411"/>
      <c r="C905" s="411" t="s">
        <v>59</v>
      </c>
      <c r="D905" s="488"/>
      <c r="E905" s="434">
        <v>70000</v>
      </c>
      <c r="F905" s="637">
        <v>0</v>
      </c>
      <c r="G905" s="434">
        <f t="shared" si="24"/>
        <v>95000</v>
      </c>
      <c r="H905" s="639">
        <f>5000*19</f>
        <v>95000</v>
      </c>
      <c r="I905" s="639">
        <f>5000*26</f>
        <v>130000</v>
      </c>
    </row>
    <row r="906" spans="1:9" ht="15.75">
      <c r="A906" s="410"/>
      <c r="B906" s="411"/>
      <c r="C906" s="411" t="str">
        <f>C23</f>
        <v>Performance Base Bonus</v>
      </c>
      <c r="D906" s="488"/>
      <c r="E906" s="434">
        <v>335799.75</v>
      </c>
      <c r="F906" s="637">
        <v>189291.37</v>
      </c>
      <c r="G906" s="434">
        <f t="shared" si="24"/>
        <v>159682.8</v>
      </c>
      <c r="H906" s="639">
        <v>348974.17</v>
      </c>
      <c r="I906" s="639">
        <v>459016.08</v>
      </c>
    </row>
    <row r="907" spans="1:9" ht="15.75">
      <c r="A907" s="410"/>
      <c r="B907" s="411"/>
      <c r="C907" s="411" t="str">
        <f>C24</f>
        <v>Mid Year</v>
      </c>
      <c r="D907" s="488"/>
      <c r="E907" s="434">
        <v>271343</v>
      </c>
      <c r="F907" s="637">
        <v>295612</v>
      </c>
      <c r="G907" s="434">
        <f t="shared" si="24"/>
        <v>66733</v>
      </c>
      <c r="H907" s="639">
        <v>362345</v>
      </c>
      <c r="I907" s="639">
        <f>I906</f>
        <v>459016.08</v>
      </c>
    </row>
    <row r="908" spans="1:9" ht="15.75">
      <c r="A908" s="410"/>
      <c r="B908" s="411"/>
      <c r="C908" s="411" t="s">
        <v>485</v>
      </c>
      <c r="D908" s="490"/>
      <c r="E908" s="434">
        <v>441655.59</v>
      </c>
      <c r="F908" s="637">
        <v>219583.85</v>
      </c>
      <c r="G908" s="434">
        <f t="shared" si="24"/>
        <v>302192.94999999995</v>
      </c>
      <c r="H908" s="639">
        <f>H899*12%</f>
        <v>521776.8</v>
      </c>
      <c r="I908" s="639">
        <f>I899*12%</f>
        <v>660983.16</v>
      </c>
    </row>
    <row r="909" spans="1:9" ht="15.75">
      <c r="A909" s="410"/>
      <c r="B909" s="411"/>
      <c r="C909" s="411" t="s">
        <v>61</v>
      </c>
      <c r="D909" s="490"/>
      <c r="E909" s="434">
        <v>34878.08</v>
      </c>
      <c r="F909" s="637">
        <v>10063.4</v>
      </c>
      <c r="G909" s="434">
        <f t="shared" si="24"/>
        <v>76899.40000000001</v>
      </c>
      <c r="H909" s="639">
        <f>H899*2%</f>
        <v>86962.8</v>
      </c>
      <c r="I909" s="639">
        <f>26*100*12</f>
        <v>31200</v>
      </c>
    </row>
    <row r="910" spans="1:9" ht="15.75">
      <c r="A910" s="410"/>
      <c r="B910" s="411"/>
      <c r="C910" s="411" t="s">
        <v>62</v>
      </c>
      <c r="D910" s="490"/>
      <c r="E910" s="434">
        <v>42721.71</v>
      </c>
      <c r="F910" s="637">
        <v>24757.46</v>
      </c>
      <c r="G910" s="434">
        <f t="shared" si="24"/>
        <v>40464.64</v>
      </c>
      <c r="H910" s="639">
        <f>H899*1.5%</f>
        <v>65222.1</v>
      </c>
      <c r="I910" s="639">
        <f>I899*1.5%</f>
        <v>82622.895</v>
      </c>
    </row>
    <row r="911" spans="1:9" ht="15.75">
      <c r="A911" s="410"/>
      <c r="B911" s="411"/>
      <c r="C911" s="411" t="s">
        <v>262</v>
      </c>
      <c r="D911" s="490"/>
      <c r="E911" s="434">
        <v>18000</v>
      </c>
      <c r="F911" s="637">
        <v>8800</v>
      </c>
      <c r="G911" s="434">
        <f t="shared" si="24"/>
        <v>14000</v>
      </c>
      <c r="H911" s="639">
        <f>1900*12</f>
        <v>22800</v>
      </c>
      <c r="I911" s="639">
        <f>2600*12</f>
        <v>31200</v>
      </c>
    </row>
    <row r="912" spans="1:9" ht="15.75">
      <c r="A912" s="410"/>
      <c r="B912" s="411"/>
      <c r="C912" s="411" t="s">
        <v>64</v>
      </c>
      <c r="D912" s="490"/>
      <c r="E912" s="434">
        <v>71596</v>
      </c>
      <c r="F912" s="637">
        <v>0</v>
      </c>
      <c r="G912" s="434">
        <f t="shared" si="24"/>
        <v>72770.48</v>
      </c>
      <c r="H912" s="639">
        <v>72770.48</v>
      </c>
      <c r="I912" s="639"/>
    </row>
    <row r="913" spans="1:9" ht="15.75">
      <c r="A913" s="410"/>
      <c r="B913" s="411"/>
      <c r="C913" s="411" t="s">
        <v>66</v>
      </c>
      <c r="D913" s="490"/>
      <c r="E913" s="434">
        <v>350000</v>
      </c>
      <c r="F913" s="637">
        <v>132449.67</v>
      </c>
      <c r="G913" s="434">
        <f t="shared" si="24"/>
        <v>524814.5499999999</v>
      </c>
      <c r="H913" s="639">
        <v>657264.22</v>
      </c>
      <c r="I913" s="639">
        <f>20000*26</f>
        <v>520000</v>
      </c>
    </row>
    <row r="914" spans="1:9" ht="15.75">
      <c r="A914" s="410"/>
      <c r="B914" s="411"/>
      <c r="C914" s="411" t="str">
        <f>C31</f>
        <v>Productivity Enhancement Incentive</v>
      </c>
      <c r="D914" s="488"/>
      <c r="E914" s="434">
        <v>70000</v>
      </c>
      <c r="F914" s="637">
        <v>0</v>
      </c>
      <c r="G914" s="434">
        <f t="shared" si="24"/>
        <v>95000</v>
      </c>
      <c r="H914" s="639">
        <f>5000*19</f>
        <v>95000</v>
      </c>
      <c r="I914" s="639">
        <f>5000*26</f>
        <v>130000</v>
      </c>
    </row>
    <row r="915" spans="1:9" ht="15.75">
      <c r="A915" s="410"/>
      <c r="B915" s="411"/>
      <c r="C915" s="411" t="s">
        <v>207</v>
      </c>
      <c r="D915" s="490"/>
      <c r="E915" s="434"/>
      <c r="F915" s="637">
        <v>0</v>
      </c>
      <c r="G915" s="434">
        <f t="shared" si="24"/>
        <v>7979.58</v>
      </c>
      <c r="H915" s="639">
        <v>7979.58</v>
      </c>
      <c r="I915" s="639">
        <v>7979.58</v>
      </c>
    </row>
    <row r="916" spans="1:9" ht="15.75">
      <c r="A916" s="410"/>
      <c r="B916" s="411"/>
      <c r="C916" s="411" t="s">
        <v>294</v>
      </c>
      <c r="D916" s="490"/>
      <c r="E916" s="434">
        <v>66966.91</v>
      </c>
      <c r="F916" s="637"/>
      <c r="G916" s="434">
        <f t="shared" si="24"/>
        <v>0</v>
      </c>
      <c r="H916" s="639"/>
      <c r="I916" s="639">
        <v>1170430.26</v>
      </c>
    </row>
    <row r="917" spans="1:9" ht="15.75">
      <c r="A917" s="410"/>
      <c r="B917" s="411"/>
      <c r="C917" s="411" t="s">
        <v>67</v>
      </c>
      <c r="D917" s="490"/>
      <c r="E917" s="436">
        <f>SUM(E899:E916)</f>
        <v>6361541.04</v>
      </c>
      <c r="F917" s="636">
        <f>SUM(F899:F916)</f>
        <v>3079405.8899999997</v>
      </c>
      <c r="G917" s="436">
        <f>SUM(G899:G916)</f>
        <v>4699174.26</v>
      </c>
      <c r="H917" s="436">
        <f>SUM(H899:H916)</f>
        <v>7778580.149999999</v>
      </c>
      <c r="I917" s="636">
        <f>SUM(I899:I916)</f>
        <v>10591657.135</v>
      </c>
    </row>
    <row r="918" spans="1:9" ht="15.75">
      <c r="A918" s="410"/>
      <c r="B918" s="411"/>
      <c r="C918" s="411"/>
      <c r="D918" s="488"/>
      <c r="E918" s="413"/>
      <c r="F918" s="739"/>
      <c r="G918" s="434"/>
      <c r="H918" s="434"/>
      <c r="I918" s="637"/>
    </row>
    <row r="919" spans="1:9" ht="15.75">
      <c r="A919" s="410"/>
      <c r="B919" s="507">
        <v>1.2</v>
      </c>
      <c r="C919" s="411" t="s">
        <v>191</v>
      </c>
      <c r="D919" s="488"/>
      <c r="E919" s="413"/>
      <c r="F919" s="637"/>
      <c r="G919" s="434"/>
      <c r="H919" s="434"/>
      <c r="I919" s="637"/>
    </row>
    <row r="920" spans="1:9" ht="15.75">
      <c r="A920" s="410"/>
      <c r="B920" s="411"/>
      <c r="C920" s="411" t="s">
        <v>199</v>
      </c>
      <c r="D920" s="488"/>
      <c r="E920" s="413"/>
      <c r="F920" s="637"/>
      <c r="G920" s="434"/>
      <c r="H920" s="434"/>
      <c r="I920" s="637"/>
    </row>
    <row r="921" spans="1:9" ht="15.75">
      <c r="A921" s="410"/>
      <c r="B921" s="411"/>
      <c r="C921" s="411"/>
      <c r="D921" s="488"/>
      <c r="E921" s="413"/>
      <c r="F921" s="637"/>
      <c r="G921" s="434"/>
      <c r="H921" s="434"/>
      <c r="I921" s="638"/>
    </row>
    <row r="922" spans="1:9" ht="15.75">
      <c r="A922" s="410"/>
      <c r="B922" s="411"/>
      <c r="C922" s="411" t="s">
        <v>69</v>
      </c>
      <c r="D922" s="488"/>
      <c r="E922" s="438">
        <v>118913.34</v>
      </c>
      <c r="F922" s="802">
        <v>0</v>
      </c>
      <c r="G922" s="434">
        <f aca="true" t="shared" si="25" ref="G922:G928">H922-F922</f>
        <v>120000</v>
      </c>
      <c r="H922" s="637">
        <v>120000</v>
      </c>
      <c r="I922" s="637">
        <v>50000</v>
      </c>
    </row>
    <row r="923" spans="1:9" ht="15.75">
      <c r="A923" s="410"/>
      <c r="B923" s="411"/>
      <c r="C923" s="411" t="s">
        <v>176</v>
      </c>
      <c r="D923" s="488"/>
      <c r="E923" s="438">
        <v>49028</v>
      </c>
      <c r="F923" s="802">
        <v>0</v>
      </c>
      <c r="G923" s="434">
        <f t="shared" si="25"/>
        <v>50000</v>
      </c>
      <c r="H923" s="637">
        <v>50000</v>
      </c>
      <c r="I923" s="637">
        <v>30000</v>
      </c>
    </row>
    <row r="924" spans="1:9" ht="15.75">
      <c r="A924" s="410"/>
      <c r="B924" s="411"/>
      <c r="C924" s="411" t="s">
        <v>70</v>
      </c>
      <c r="D924" s="490"/>
      <c r="E924" s="434">
        <v>76892.82</v>
      </c>
      <c r="F924" s="637">
        <v>5963.14</v>
      </c>
      <c r="G924" s="434">
        <f>H924-F924</f>
        <v>94036.86</v>
      </c>
      <c r="H924" s="637">
        <v>100000</v>
      </c>
      <c r="I924" s="637">
        <v>100000</v>
      </c>
    </row>
    <row r="925" spans="1:9" ht="15.75">
      <c r="A925" s="410"/>
      <c r="B925" s="411"/>
      <c r="C925" s="411" t="s">
        <v>97</v>
      </c>
      <c r="D925" s="490"/>
      <c r="E925" s="434">
        <v>24000</v>
      </c>
      <c r="F925" s="637">
        <v>16000</v>
      </c>
      <c r="G925" s="434">
        <f t="shared" si="25"/>
        <v>8000</v>
      </c>
      <c r="H925" s="637">
        <v>24000</v>
      </c>
      <c r="I925" s="637">
        <v>24000</v>
      </c>
    </row>
    <row r="926" spans="1:9" ht="15.75">
      <c r="A926" s="410"/>
      <c r="B926" s="411"/>
      <c r="C926" s="411" t="s">
        <v>265</v>
      </c>
      <c r="D926" s="490"/>
      <c r="E926" s="434">
        <v>27441</v>
      </c>
      <c r="F926" s="637">
        <v>0</v>
      </c>
      <c r="G926" s="434">
        <f t="shared" si="25"/>
        <v>50000</v>
      </c>
      <c r="H926" s="637">
        <v>50000</v>
      </c>
      <c r="I926" s="637">
        <v>50000</v>
      </c>
    </row>
    <row r="927" spans="1:9" ht="15.75">
      <c r="A927" s="410"/>
      <c r="B927" s="411"/>
      <c r="C927" s="411" t="s">
        <v>410</v>
      </c>
      <c r="D927" s="490"/>
      <c r="E927" s="434">
        <v>0</v>
      </c>
      <c r="F927" s="637">
        <v>0</v>
      </c>
      <c r="G927" s="434">
        <f>H927-F927</f>
        <v>30000</v>
      </c>
      <c r="H927" s="637">
        <v>30000</v>
      </c>
      <c r="I927" s="637">
        <v>30000</v>
      </c>
    </row>
    <row r="928" spans="1:9" ht="15.75">
      <c r="A928" s="410"/>
      <c r="B928" s="411"/>
      <c r="C928" s="411" t="s">
        <v>491</v>
      </c>
      <c r="D928" s="490"/>
      <c r="E928" s="434"/>
      <c r="F928" s="637">
        <v>0</v>
      </c>
      <c r="G928" s="434">
        <f t="shared" si="25"/>
        <v>18850</v>
      </c>
      <c r="H928" s="637">
        <v>18850</v>
      </c>
      <c r="I928" s="637">
        <v>18850</v>
      </c>
    </row>
    <row r="929" spans="1:9" ht="15.75">
      <c r="A929" s="410"/>
      <c r="B929" s="411"/>
      <c r="C929" s="411" t="s">
        <v>192</v>
      </c>
      <c r="D929" s="488"/>
      <c r="E929" s="1121">
        <f>SUM(E922:E928)</f>
        <v>296275.16000000003</v>
      </c>
      <c r="F929" s="820"/>
      <c r="G929" s="1123">
        <f>SUM(G922:G928)</f>
        <v>370886.86</v>
      </c>
      <c r="H929" s="766"/>
      <c r="I929" s="1125">
        <f>SUM(I922:I928)</f>
        <v>302850</v>
      </c>
    </row>
    <row r="930" spans="1:9" ht="15.75">
      <c r="A930" s="410"/>
      <c r="B930" s="411"/>
      <c r="C930" s="411" t="s">
        <v>193</v>
      </c>
      <c r="D930" s="488"/>
      <c r="E930" s="1122"/>
      <c r="F930" s="774">
        <f>SUM(F922:F929)</f>
        <v>21963.14</v>
      </c>
      <c r="G930" s="1124"/>
      <c r="H930" s="767">
        <f>SUM(H922:H929)</f>
        <v>392850</v>
      </c>
      <c r="I930" s="1126"/>
    </row>
    <row r="931" spans="1:9" ht="15.75">
      <c r="A931" s="410"/>
      <c r="B931" s="411"/>
      <c r="C931" s="411"/>
      <c r="D931" s="488"/>
      <c r="E931" s="434"/>
      <c r="F931" s="639"/>
      <c r="G931" s="440"/>
      <c r="H931" s="440"/>
      <c r="I931" s="639"/>
    </row>
    <row r="932" spans="1:9" ht="15.75">
      <c r="A932" s="441">
        <v>2</v>
      </c>
      <c r="B932" s="411" t="s">
        <v>89</v>
      </c>
      <c r="C932" s="411"/>
      <c r="D932" s="488"/>
      <c r="E932" s="434"/>
      <c r="F932" s="639"/>
      <c r="G932" s="440"/>
      <c r="H932" s="440"/>
      <c r="I932" s="639"/>
    </row>
    <row r="933" spans="1:9" ht="15.75">
      <c r="A933" s="441"/>
      <c r="B933" s="411"/>
      <c r="C933" s="411" t="s">
        <v>90</v>
      </c>
      <c r="D933" s="488"/>
      <c r="E933" s="434">
        <v>77800</v>
      </c>
      <c r="F933" s="639"/>
      <c r="G933" s="440">
        <f>H933-F933</f>
        <v>50000</v>
      </c>
      <c r="H933" s="639">
        <v>50000</v>
      </c>
      <c r="I933" s="639">
        <v>0</v>
      </c>
    </row>
    <row r="934" spans="1:9" ht="15.75">
      <c r="A934" s="441"/>
      <c r="B934" s="411"/>
      <c r="C934" s="411" t="s">
        <v>92</v>
      </c>
      <c r="D934" s="488"/>
      <c r="E934" s="434">
        <v>150000</v>
      </c>
      <c r="F934" s="639">
        <v>91879</v>
      </c>
      <c r="G934" s="440">
        <f>H934-F934</f>
        <v>108121</v>
      </c>
      <c r="H934" s="639">
        <v>200000</v>
      </c>
      <c r="I934" s="639">
        <v>0</v>
      </c>
    </row>
    <row r="935" spans="1:9" ht="15.75">
      <c r="A935" s="410"/>
      <c r="B935" s="411"/>
      <c r="C935" s="411" t="s">
        <v>94</v>
      </c>
      <c r="D935" s="500"/>
      <c r="E935" s="764">
        <f>E933+E934</f>
        <v>227800</v>
      </c>
      <c r="F935" s="820">
        <f>F934</f>
        <v>91879</v>
      </c>
      <c r="G935" s="766">
        <f>SUM(G933:G934)</f>
        <v>158121</v>
      </c>
      <c r="H935" s="766">
        <f>SUM(H933:H934)</f>
        <v>250000</v>
      </c>
      <c r="I935" s="820">
        <f>SUM(I933:I934)</f>
        <v>0</v>
      </c>
    </row>
    <row r="936" spans="1:9" ht="18" customHeight="1">
      <c r="A936" s="443" t="s">
        <v>226</v>
      </c>
      <c r="B936" s="444"/>
      <c r="C936" s="444"/>
      <c r="D936" s="557"/>
      <c r="E936" s="446">
        <f>+E935+E929+E917</f>
        <v>6885616.2</v>
      </c>
      <c r="F936" s="775">
        <f>F935+F930+F917</f>
        <v>3193248.03</v>
      </c>
      <c r="G936" s="442">
        <f>G935+G929+G917</f>
        <v>5228182.12</v>
      </c>
      <c r="H936" s="442">
        <f>H917+H930+H935</f>
        <v>8421430.149999999</v>
      </c>
      <c r="I936" s="775">
        <f>I917+I929+I935</f>
        <v>10894507.135</v>
      </c>
    </row>
    <row r="937" spans="1:9" ht="15.75">
      <c r="A937" s="480"/>
      <c r="B937" s="558"/>
      <c r="C937" s="559"/>
      <c r="D937" s="560"/>
      <c r="E937" s="561"/>
      <c r="F937" s="833"/>
      <c r="G937" s="758"/>
      <c r="H937" s="758"/>
      <c r="I937" s="819"/>
    </row>
    <row r="938" spans="1:9" ht="15.75">
      <c r="A938" s="414"/>
      <c r="B938" s="563"/>
      <c r="C938" s="462"/>
      <c r="D938" s="560"/>
      <c r="E938" s="511"/>
      <c r="F938" s="248"/>
      <c r="G938" s="570"/>
      <c r="H938" s="563"/>
      <c r="I938" s="641"/>
    </row>
    <row r="939" spans="1:9" ht="18">
      <c r="A939" s="460" t="s">
        <v>196</v>
      </c>
      <c r="B939" s="503"/>
      <c r="C939" s="462"/>
      <c r="D939" s="463"/>
      <c r="E939" s="464" t="s">
        <v>197</v>
      </c>
      <c r="F939" s="16"/>
      <c r="G939" s="757" t="s">
        <v>198</v>
      </c>
      <c r="H939" s="757"/>
      <c r="I939" s="862"/>
    </row>
    <row r="940" spans="1:9" ht="18">
      <c r="A940" s="460"/>
      <c r="B940" s="465"/>
      <c r="C940" s="465"/>
      <c r="D940" s="463"/>
      <c r="E940" s="467"/>
      <c r="F940" s="16"/>
      <c r="G940" s="465"/>
      <c r="H940" s="465"/>
      <c r="I940" s="862"/>
    </row>
    <row r="941" spans="1:9" ht="18">
      <c r="A941" s="460"/>
      <c r="B941" s="465"/>
      <c r="C941" s="465"/>
      <c r="D941" s="463"/>
      <c r="E941" s="511"/>
      <c r="F941" s="16"/>
      <c r="G941" s="465"/>
      <c r="H941" s="465"/>
      <c r="I941" s="249"/>
    </row>
    <row r="942" spans="1:9" ht="18">
      <c r="A942" s="460"/>
      <c r="B942" s="465"/>
      <c r="C942" s="465"/>
      <c r="D942" s="463"/>
      <c r="E942" s="467"/>
      <c r="F942" s="16"/>
      <c r="G942" s="465"/>
      <c r="H942" s="465"/>
      <c r="I942" s="249"/>
    </row>
    <row r="943" spans="1:9" ht="18">
      <c r="A943" s="460" t="s">
        <v>626</v>
      </c>
      <c r="B943" s="465"/>
      <c r="C943" s="465"/>
      <c r="D943" s="463"/>
      <c r="E943" s="464" t="str">
        <f>E116</f>
        <v>JANE B. LARIOSA</v>
      </c>
      <c r="F943" s="16"/>
      <c r="G943" s="1091" t="str">
        <f>G116</f>
        <v>WILLIAM E. CALVEZ, CE</v>
      </c>
      <c r="H943" s="1091"/>
      <c r="I943" s="1092"/>
    </row>
    <row r="944" spans="1:9" ht="18">
      <c r="A944" s="470" t="s">
        <v>625</v>
      </c>
      <c r="B944" s="433"/>
      <c r="C944" s="433"/>
      <c r="D944" s="504"/>
      <c r="E944" s="505" t="str">
        <f>E117</f>
        <v>AO II/OIC MBO</v>
      </c>
      <c r="F944" s="16"/>
      <c r="G944" s="1104" t="s">
        <v>155</v>
      </c>
      <c r="H944" s="1104"/>
      <c r="I944" s="1105"/>
    </row>
    <row r="945" spans="1:9" ht="15.75">
      <c r="A945" s="526"/>
      <c r="B945" s="527"/>
      <c r="C945" s="527"/>
      <c r="D945" s="528"/>
      <c r="E945" s="529"/>
      <c r="F945" s="838"/>
      <c r="G945" s="578"/>
      <c r="H945" s="578"/>
      <c r="I945" s="839"/>
    </row>
    <row r="946" spans="1:9" ht="15.75">
      <c r="A946" s="576"/>
      <c r="B946" s="576"/>
      <c r="C946" s="576"/>
      <c r="D946" s="577"/>
      <c r="E946" s="492"/>
      <c r="F946" s="837"/>
      <c r="G946" s="576"/>
      <c r="H946" s="576"/>
      <c r="I946" s="837"/>
    </row>
    <row r="947" spans="1:9" ht="15.75">
      <c r="A947" s="576"/>
      <c r="B947" s="576"/>
      <c r="C947" s="576"/>
      <c r="D947" s="577"/>
      <c r="E947" s="492"/>
      <c r="F947" s="837"/>
      <c r="G947" s="576"/>
      <c r="H947" s="576"/>
      <c r="I947" s="837"/>
    </row>
    <row r="948" spans="1:9" ht="15.75">
      <c r="A948" s="576"/>
      <c r="B948" s="576"/>
      <c r="C948" s="576"/>
      <c r="D948" s="577"/>
      <c r="E948" s="492"/>
      <c r="F948" s="837"/>
      <c r="G948" s="576"/>
      <c r="H948" s="576"/>
      <c r="I948" s="837"/>
    </row>
    <row r="949" spans="1:9" ht="15.75">
      <c r="A949" s="576"/>
      <c r="B949" s="576"/>
      <c r="C949" s="576"/>
      <c r="D949" s="577"/>
      <c r="E949" s="492"/>
      <c r="F949" s="837"/>
      <c r="G949" s="576"/>
      <c r="H949" s="576"/>
      <c r="I949" s="837"/>
    </row>
    <row r="950" spans="1:9" ht="15.75">
      <c r="A950" s="576"/>
      <c r="B950" s="576"/>
      <c r="C950" s="576"/>
      <c r="D950" s="577"/>
      <c r="E950" s="492"/>
      <c r="F950" s="837"/>
      <c r="G950" s="576"/>
      <c r="H950" s="576"/>
      <c r="I950" s="837"/>
    </row>
    <row r="951" spans="1:9" ht="15.75">
      <c r="A951" s="576"/>
      <c r="B951" s="576"/>
      <c r="C951" s="576"/>
      <c r="D951" s="577"/>
      <c r="E951" s="492"/>
      <c r="F951" s="837"/>
      <c r="G951" s="576"/>
      <c r="H951" s="576"/>
      <c r="I951" s="837"/>
    </row>
    <row r="952" spans="1:9" ht="15.75">
      <c r="A952" s="576"/>
      <c r="B952" s="576"/>
      <c r="C952" s="576"/>
      <c r="D952" s="577"/>
      <c r="E952" s="492"/>
      <c r="F952" s="837"/>
      <c r="G952" s="576"/>
      <c r="H952" s="576"/>
      <c r="I952" s="837"/>
    </row>
    <row r="953" spans="1:9" ht="15.75">
      <c r="A953" s="576"/>
      <c r="B953" s="576"/>
      <c r="C953" s="576"/>
      <c r="D953" s="577"/>
      <c r="E953" s="492"/>
      <c r="F953" s="837"/>
      <c r="G953" s="576"/>
      <c r="H953" s="576"/>
      <c r="I953" s="837"/>
    </row>
    <row r="954" spans="1:9" ht="15.75">
      <c r="A954" s="576"/>
      <c r="B954" s="576"/>
      <c r="C954" s="576"/>
      <c r="D954" s="577"/>
      <c r="E954" s="492"/>
      <c r="F954" s="837"/>
      <c r="G954" s="576"/>
      <c r="H954" s="576"/>
      <c r="I954" s="837"/>
    </row>
    <row r="955" spans="1:9" ht="15.75">
      <c r="A955" s="576"/>
      <c r="B955" s="576"/>
      <c r="C955" s="576"/>
      <c r="D955" s="577"/>
      <c r="E955" s="492"/>
      <c r="F955" s="837"/>
      <c r="G955" s="576"/>
      <c r="H955" s="576"/>
      <c r="I955" s="837"/>
    </row>
    <row r="956" spans="1:9" ht="15.75">
      <c r="A956" s="576"/>
      <c r="B956" s="576"/>
      <c r="C956" s="576"/>
      <c r="D956" s="577"/>
      <c r="E956" s="492"/>
      <c r="F956" s="837"/>
      <c r="G956" s="576"/>
      <c r="H956" s="576"/>
      <c r="I956" s="837"/>
    </row>
    <row r="957" spans="1:9" ht="15.75">
      <c r="A957" s="576"/>
      <c r="B957" s="576"/>
      <c r="C957" s="576"/>
      <c r="D957" s="577"/>
      <c r="E957" s="492"/>
      <c r="F957" s="837"/>
      <c r="G957" s="576"/>
      <c r="H957" s="576"/>
      <c r="I957" s="837"/>
    </row>
    <row r="958" spans="1:9" ht="15.75">
      <c r="A958" s="576"/>
      <c r="B958" s="576"/>
      <c r="C958" s="576"/>
      <c r="D958" s="577"/>
      <c r="E958" s="492"/>
      <c r="F958" s="837"/>
      <c r="G958" s="576"/>
      <c r="H958" s="576"/>
      <c r="I958" s="837"/>
    </row>
    <row r="959" spans="1:9" ht="15.75">
      <c r="A959" s="576"/>
      <c r="B959" s="576"/>
      <c r="C959" s="576"/>
      <c r="D959" s="577"/>
      <c r="E959" s="492"/>
      <c r="F959" s="837"/>
      <c r="G959" s="576"/>
      <c r="H959" s="576"/>
      <c r="I959" s="837"/>
    </row>
    <row r="960" spans="1:9" ht="15.75">
      <c r="A960" s="576"/>
      <c r="B960" s="576"/>
      <c r="C960" s="576"/>
      <c r="D960" s="577"/>
      <c r="E960" s="492"/>
      <c r="F960" s="837"/>
      <c r="G960" s="576"/>
      <c r="H960" s="576"/>
      <c r="I960" s="837"/>
    </row>
    <row r="961" spans="1:9" ht="15.75">
      <c r="A961" s="663" t="str">
        <f>A3</f>
        <v>LBP Form No. 2</v>
      </c>
      <c r="B961" s="407"/>
      <c r="C961" s="407"/>
      <c r="D961" s="655"/>
      <c r="E961" s="409"/>
      <c r="F961" s="797"/>
      <c r="G961" s="407"/>
      <c r="H961" s="407"/>
      <c r="I961" s="854"/>
    </row>
    <row r="962" spans="1:9" ht="15.75">
      <c r="A962" s="410"/>
      <c r="B962" s="411"/>
      <c r="C962" s="411"/>
      <c r="D962" s="654"/>
      <c r="E962" s="413"/>
      <c r="F962" s="11"/>
      <c r="G962" s="411"/>
      <c r="H962" s="411"/>
      <c r="I962" s="855"/>
    </row>
    <row r="963" spans="1:9" ht="15.75">
      <c r="A963" s="1106" t="str">
        <f>A5</f>
        <v>PROGRAMMED APPROPRIATION AND OBLIGATION BY OBJECT OF EXPENDITURE</v>
      </c>
      <c r="B963" s="1107"/>
      <c r="C963" s="1107"/>
      <c r="D963" s="1107"/>
      <c r="E963" s="1107"/>
      <c r="F963" s="1107"/>
      <c r="G963" s="1107"/>
      <c r="H963" s="1107"/>
      <c r="I963" s="1108"/>
    </row>
    <row r="964" spans="1:9" ht="15.75">
      <c r="A964" s="1109" t="str">
        <f>A6</f>
        <v>Municipality of Trento</v>
      </c>
      <c r="B964" s="1110"/>
      <c r="C964" s="1110"/>
      <c r="D964" s="1110"/>
      <c r="E964" s="1110"/>
      <c r="F964" s="1110"/>
      <c r="G964" s="1110"/>
      <c r="H964" s="1110"/>
      <c r="I964" s="1111"/>
    </row>
    <row r="965" spans="1:9" ht="15.75">
      <c r="A965" s="414" t="s">
        <v>476</v>
      </c>
      <c r="B965" s="411"/>
      <c r="C965" s="411"/>
      <c r="D965" s="654"/>
      <c r="E965" s="413"/>
      <c r="F965" s="11"/>
      <c r="G965" s="411"/>
      <c r="H965" s="411"/>
      <c r="I965" s="855"/>
    </row>
    <row r="966" spans="1:9" ht="15.75">
      <c r="A966" s="410"/>
      <c r="B966" s="411"/>
      <c r="C966" s="411"/>
      <c r="D966" s="654"/>
      <c r="E966" s="413"/>
      <c r="F966" s="11"/>
      <c r="G966" s="411"/>
      <c r="H966" s="411"/>
      <c r="I966" s="855"/>
    </row>
    <row r="967" spans="1:11" s="6" customFormat="1" ht="15.75">
      <c r="A967" s="1112" t="s">
        <v>181</v>
      </c>
      <c r="B967" s="1113"/>
      <c r="C967" s="1114"/>
      <c r="D967" s="530"/>
      <c r="E967" s="416" t="s">
        <v>7</v>
      </c>
      <c r="F967" s="1115" t="str">
        <f>F9</f>
        <v>Current Year 2020 (Estimate)</v>
      </c>
      <c r="G967" s="1116"/>
      <c r="H967" s="1117"/>
      <c r="I967" s="856" t="s">
        <v>10</v>
      </c>
      <c r="J967" s="778"/>
      <c r="K967" s="778"/>
    </row>
    <row r="968" spans="1:11" s="6" customFormat="1" ht="15.75">
      <c r="A968" s="1109"/>
      <c r="B968" s="1110"/>
      <c r="C968" s="1111"/>
      <c r="D968" s="417" t="s">
        <v>5</v>
      </c>
      <c r="E968" s="486" t="str">
        <f>E10</f>
        <v>2019</v>
      </c>
      <c r="F968" s="813" t="s">
        <v>8</v>
      </c>
      <c r="G968" s="485" t="s">
        <v>9</v>
      </c>
      <c r="H968" s="1118" t="s">
        <v>1</v>
      </c>
      <c r="I968" s="813">
        <f>I10</f>
        <v>2021</v>
      </c>
      <c r="J968" s="778"/>
      <c r="K968" s="778"/>
    </row>
    <row r="969" spans="1:11" s="6" customFormat="1" ht="15.75">
      <c r="A969" s="1109"/>
      <c r="B969" s="1110"/>
      <c r="C969" s="1111"/>
      <c r="D969" s="417" t="s">
        <v>12</v>
      </c>
      <c r="E969" s="486" t="s">
        <v>14</v>
      </c>
      <c r="F969" s="813" t="s">
        <v>14</v>
      </c>
      <c r="G969" s="485" t="s">
        <v>15</v>
      </c>
      <c r="H969" s="1119"/>
      <c r="I969" s="813" t="s">
        <v>182</v>
      </c>
      <c r="J969" s="778"/>
      <c r="K969" s="778"/>
    </row>
    <row r="970" spans="1:11" s="6" customFormat="1" ht="12.75">
      <c r="A970" s="656" t="s">
        <v>183</v>
      </c>
      <c r="B970" s="657"/>
      <c r="C970" s="658"/>
      <c r="D970" s="422" t="s">
        <v>184</v>
      </c>
      <c r="E970" s="423" t="s">
        <v>185</v>
      </c>
      <c r="F970" s="832" t="s">
        <v>186</v>
      </c>
      <c r="G970" s="556" t="s">
        <v>187</v>
      </c>
      <c r="H970" s="556" t="s">
        <v>188</v>
      </c>
      <c r="I970" s="832" t="s">
        <v>189</v>
      </c>
      <c r="J970" s="778"/>
      <c r="K970" s="778"/>
    </row>
    <row r="971" spans="1:9" ht="15.75">
      <c r="A971" s="410"/>
      <c r="B971" s="411"/>
      <c r="C971" s="411"/>
      <c r="D971" s="506"/>
      <c r="E971" s="434"/>
      <c r="F971" s="815"/>
      <c r="G971" s="410"/>
      <c r="H971" s="410"/>
      <c r="I971" s="867"/>
    </row>
    <row r="972" spans="1:9" ht="15.75">
      <c r="A972" s="441">
        <v>1</v>
      </c>
      <c r="B972" s="430" t="s">
        <v>190</v>
      </c>
      <c r="C972" s="411"/>
      <c r="D972" s="488"/>
      <c r="E972" s="434"/>
      <c r="F972" s="815"/>
      <c r="G972" s="410"/>
      <c r="H972" s="410"/>
      <c r="I972" s="639"/>
    </row>
    <row r="973" spans="1:9" ht="15.75">
      <c r="A973" s="410"/>
      <c r="B973" s="507">
        <v>1.1</v>
      </c>
      <c r="C973" s="411" t="s">
        <v>159</v>
      </c>
      <c r="D973" s="488"/>
      <c r="E973" s="434"/>
      <c r="F973" s="815"/>
      <c r="G973" s="410"/>
      <c r="H973" s="410"/>
      <c r="I973" s="821"/>
    </row>
    <row r="974" spans="1:9" ht="15.75">
      <c r="A974" s="410"/>
      <c r="B974" s="411"/>
      <c r="C974" s="411" t="s">
        <v>52</v>
      </c>
      <c r="D974" s="488"/>
      <c r="E974" s="434">
        <v>2994079.54</v>
      </c>
      <c r="F974" s="637">
        <v>2096329.16</v>
      </c>
      <c r="G974" s="434">
        <f aca="true" t="shared" si="26" ref="G974:G993">H974-F974</f>
        <v>2056258.84</v>
      </c>
      <c r="H974" s="639">
        <v>4152588</v>
      </c>
      <c r="I974" s="639">
        <v>4606122</v>
      </c>
    </row>
    <row r="975" spans="1:9" ht="15.75">
      <c r="A975" s="410"/>
      <c r="B975" s="411"/>
      <c r="C975" s="411" t="s">
        <v>53</v>
      </c>
      <c r="D975" s="488"/>
      <c r="E975" s="434">
        <v>200902.74</v>
      </c>
      <c r="F975" s="637">
        <v>145000</v>
      </c>
      <c r="G975" s="434">
        <f t="shared" si="26"/>
        <v>143000</v>
      </c>
      <c r="H975" s="639">
        <f>2000*12*12</f>
        <v>288000</v>
      </c>
      <c r="I975" s="639">
        <f>2000*13*12</f>
        <v>312000</v>
      </c>
    </row>
    <row r="976" spans="1:9" ht="15.75">
      <c r="A976" s="410"/>
      <c r="B976" s="411"/>
      <c r="C976" s="411" t="s">
        <v>54</v>
      </c>
      <c r="D976" s="488"/>
      <c r="E976" s="434">
        <v>81000</v>
      </c>
      <c r="F976" s="637">
        <v>40500</v>
      </c>
      <c r="G976" s="434">
        <f t="shared" si="26"/>
        <v>40500</v>
      </c>
      <c r="H976" s="639">
        <v>81000</v>
      </c>
      <c r="I976" s="639">
        <v>81000</v>
      </c>
    </row>
    <row r="977" spans="1:9" ht="15.75">
      <c r="A977" s="410"/>
      <c r="B977" s="411"/>
      <c r="C977" s="411" t="s">
        <v>55</v>
      </c>
      <c r="D977" s="488"/>
      <c r="E977" s="434">
        <v>81000</v>
      </c>
      <c r="F977" s="637">
        <v>40500</v>
      </c>
      <c r="G977" s="434">
        <f t="shared" si="26"/>
        <v>40500</v>
      </c>
      <c r="H977" s="639">
        <v>81000</v>
      </c>
      <c r="I977" s="639">
        <v>81000</v>
      </c>
    </row>
    <row r="978" spans="1:9" ht="15.75">
      <c r="A978" s="410"/>
      <c r="B978" s="411"/>
      <c r="C978" s="411" t="s">
        <v>484</v>
      </c>
      <c r="D978" s="488"/>
      <c r="E978" s="434">
        <v>72000</v>
      </c>
      <c r="F978" s="637">
        <v>72000</v>
      </c>
      <c r="G978" s="434">
        <f t="shared" si="26"/>
        <v>0</v>
      </c>
      <c r="H978" s="639">
        <f>6000*12</f>
        <v>72000</v>
      </c>
      <c r="I978" s="639">
        <f>6000*13</f>
        <v>78000</v>
      </c>
    </row>
    <row r="979" spans="1:9" ht="15.75">
      <c r="A979" s="410"/>
      <c r="B979" s="411"/>
      <c r="C979" s="411" t="s">
        <v>227</v>
      </c>
      <c r="D979" s="488"/>
      <c r="E979" s="434">
        <v>165000</v>
      </c>
      <c r="F979" s="637">
        <v>87000</v>
      </c>
      <c r="G979" s="434">
        <f t="shared" si="26"/>
        <v>129000</v>
      </c>
      <c r="H979" s="639">
        <f>1500*12*12</f>
        <v>216000</v>
      </c>
      <c r="I979" s="639">
        <f>1500*13*12</f>
        <v>234000</v>
      </c>
    </row>
    <row r="980" spans="1:9" ht="15.75">
      <c r="A980" s="410"/>
      <c r="B980" s="411"/>
      <c r="C980" s="411" t="s">
        <v>63</v>
      </c>
      <c r="D980" s="490"/>
      <c r="E980" s="434">
        <v>16500</v>
      </c>
      <c r="F980" s="637">
        <v>8700</v>
      </c>
      <c r="G980" s="434">
        <f t="shared" si="26"/>
        <v>12900</v>
      </c>
      <c r="H980" s="639">
        <f>150*12*12</f>
        <v>21600</v>
      </c>
      <c r="I980" s="639">
        <f>150*13*12</f>
        <v>23400</v>
      </c>
    </row>
    <row r="981" spans="1:9" ht="15.75">
      <c r="A981" s="410"/>
      <c r="B981" s="411"/>
      <c r="C981" s="411" t="s">
        <v>287</v>
      </c>
      <c r="D981" s="488"/>
      <c r="E981" s="434"/>
      <c r="F981" s="637">
        <v>0</v>
      </c>
      <c r="G981" s="434">
        <f t="shared" si="26"/>
        <v>72000</v>
      </c>
      <c r="H981" s="639">
        <v>72000</v>
      </c>
      <c r="I981" s="639">
        <v>72000</v>
      </c>
    </row>
    <row r="982" spans="1:9" ht="15.75">
      <c r="A982" s="410"/>
      <c r="B982" s="411"/>
      <c r="C982" s="411" t="s">
        <v>58</v>
      </c>
      <c r="D982" s="488"/>
      <c r="E982" s="413">
        <v>347938.75</v>
      </c>
      <c r="F982" s="637">
        <v>171342.25</v>
      </c>
      <c r="G982" s="434">
        <f t="shared" si="26"/>
        <v>224249.75</v>
      </c>
      <c r="H982" s="639">
        <v>395592</v>
      </c>
      <c r="I982" s="639">
        <v>999436</v>
      </c>
    </row>
    <row r="983" spans="1:9" ht="15.75">
      <c r="A983" s="410"/>
      <c r="B983" s="411"/>
      <c r="C983" s="411" t="s">
        <v>0</v>
      </c>
      <c r="D983" s="488"/>
      <c r="E983" s="434">
        <v>328600</v>
      </c>
      <c r="F983" s="637">
        <v>0</v>
      </c>
      <c r="G983" s="434">
        <f t="shared" si="26"/>
        <v>346049</v>
      </c>
      <c r="H983" s="639">
        <v>346049</v>
      </c>
      <c r="I983" s="639">
        <f>I986</f>
        <v>383843.5</v>
      </c>
    </row>
    <row r="984" spans="1:9" ht="15.75">
      <c r="A984" s="410"/>
      <c r="B984" s="411"/>
      <c r="C984" s="411" t="s">
        <v>59</v>
      </c>
      <c r="D984" s="488"/>
      <c r="E984" s="434">
        <v>60000</v>
      </c>
      <c r="F984" s="637">
        <v>0</v>
      </c>
      <c r="G984" s="434">
        <f t="shared" si="26"/>
        <v>60000</v>
      </c>
      <c r="H984" s="639">
        <f>5000*12</f>
        <v>60000</v>
      </c>
      <c r="I984" s="639">
        <f>5000*13</f>
        <v>65000</v>
      </c>
    </row>
    <row r="985" spans="1:9" ht="15.75">
      <c r="A985" s="410"/>
      <c r="B985" s="411"/>
      <c r="C985" s="411" t="str">
        <f>C23</f>
        <v>Performance Base Bonus</v>
      </c>
      <c r="D985" s="488"/>
      <c r="E985" s="434">
        <v>324805.2</v>
      </c>
      <c r="F985" s="637">
        <v>213590</v>
      </c>
      <c r="G985" s="434">
        <f t="shared" si="26"/>
        <v>116070</v>
      </c>
      <c r="H985" s="639">
        <f>3955920/12</f>
        <v>329660</v>
      </c>
      <c r="I985" s="639">
        <f>I974/12</f>
        <v>383843.5</v>
      </c>
    </row>
    <row r="986" spans="1:9" ht="15.75">
      <c r="A986" s="410"/>
      <c r="B986" s="411"/>
      <c r="C986" s="411" t="str">
        <f>C24</f>
        <v>Mid Year</v>
      </c>
      <c r="D986" s="488"/>
      <c r="E986" s="413">
        <v>188490</v>
      </c>
      <c r="F986" s="637">
        <v>346049</v>
      </c>
      <c r="G986" s="434">
        <f t="shared" si="26"/>
        <v>0</v>
      </c>
      <c r="H986" s="639">
        <v>346049</v>
      </c>
      <c r="I986" s="639">
        <f>I985</f>
        <v>383843.5</v>
      </c>
    </row>
    <row r="987" spans="1:9" ht="15.75">
      <c r="A987" s="410"/>
      <c r="B987" s="411"/>
      <c r="C987" s="411" t="s">
        <v>485</v>
      </c>
      <c r="D987" s="490"/>
      <c r="E987" s="434">
        <v>359348.06</v>
      </c>
      <c r="F987" s="637">
        <v>253979.24</v>
      </c>
      <c r="G987" s="434">
        <f t="shared" si="26"/>
        <v>244331.32</v>
      </c>
      <c r="H987" s="639">
        <f>H974*12%</f>
        <v>498310.56</v>
      </c>
      <c r="I987" s="639">
        <f>I974*12%</f>
        <v>552734.64</v>
      </c>
    </row>
    <row r="988" spans="1:9" ht="15.75">
      <c r="A988" s="410"/>
      <c r="B988" s="411"/>
      <c r="C988" s="411" t="s">
        <v>61</v>
      </c>
      <c r="D988" s="490"/>
      <c r="E988" s="434">
        <v>30412.52</v>
      </c>
      <c r="F988" s="637">
        <v>9017.28</v>
      </c>
      <c r="G988" s="434">
        <f t="shared" si="26"/>
        <v>74034.48</v>
      </c>
      <c r="H988" s="639">
        <f>H974*2%</f>
        <v>83051.76</v>
      </c>
      <c r="I988" s="639">
        <f>100*13*12</f>
        <v>15600</v>
      </c>
    </row>
    <row r="989" spans="1:9" ht="15.75">
      <c r="A989" s="410"/>
      <c r="B989" s="411"/>
      <c r="C989" s="411" t="s">
        <v>62</v>
      </c>
      <c r="D989" s="490"/>
      <c r="E989" s="434">
        <v>34688.11</v>
      </c>
      <c r="F989" s="637">
        <v>29000.24</v>
      </c>
      <c r="G989" s="434">
        <f t="shared" si="26"/>
        <v>33288.58</v>
      </c>
      <c r="H989" s="639">
        <v>62288.82</v>
      </c>
      <c r="I989" s="639">
        <f>I974*1.75%</f>
        <v>80607.13500000001</v>
      </c>
    </row>
    <row r="990" spans="1:9" ht="15.75">
      <c r="A990" s="410"/>
      <c r="B990" s="411"/>
      <c r="C990" s="411" t="s">
        <v>262</v>
      </c>
      <c r="D990" s="490"/>
      <c r="E990" s="434">
        <v>10200</v>
      </c>
      <c r="F990" s="637">
        <v>7300</v>
      </c>
      <c r="G990" s="434">
        <f t="shared" si="26"/>
        <v>7100</v>
      </c>
      <c r="H990" s="639">
        <f>1200*12</f>
        <v>14400</v>
      </c>
      <c r="I990" s="639">
        <f>1300*12</f>
        <v>15600</v>
      </c>
    </row>
    <row r="991" spans="1:9" ht="15.75">
      <c r="A991" s="410"/>
      <c r="B991" s="411"/>
      <c r="C991" s="411" t="s">
        <v>64</v>
      </c>
      <c r="D991" s="490"/>
      <c r="E991" s="434">
        <v>1291194</v>
      </c>
      <c r="F991" s="637">
        <v>100713.1</v>
      </c>
      <c r="G991" s="434">
        <f t="shared" si="26"/>
        <v>184276.44000000003</v>
      </c>
      <c r="H991" s="639">
        <f>184989.54+100000</f>
        <v>284989.54000000004</v>
      </c>
      <c r="I991" s="639"/>
    </row>
    <row r="992" spans="1:9" ht="15.75">
      <c r="A992" s="410"/>
      <c r="B992" s="411"/>
      <c r="C992" s="411" t="s">
        <v>66</v>
      </c>
      <c r="D992" s="490"/>
      <c r="E992" s="434">
        <v>300000</v>
      </c>
      <c r="F992" s="637">
        <v>118703.63</v>
      </c>
      <c r="G992" s="434">
        <f t="shared" si="26"/>
        <v>453860.68999999994</v>
      </c>
      <c r="H992" s="639">
        <v>572564.32</v>
      </c>
      <c r="I992" s="639">
        <f>20000*13</f>
        <v>260000</v>
      </c>
    </row>
    <row r="993" spans="1:9" ht="15.75">
      <c r="A993" s="410"/>
      <c r="B993" s="411"/>
      <c r="C993" s="411" t="str">
        <f>C31</f>
        <v>Productivity Enhancement Incentive</v>
      </c>
      <c r="D993" s="488"/>
      <c r="E993" s="434">
        <v>45000</v>
      </c>
      <c r="F993" s="637">
        <v>0</v>
      </c>
      <c r="G993" s="434">
        <f t="shared" si="26"/>
        <v>60000</v>
      </c>
      <c r="H993" s="639">
        <f>5000*12</f>
        <v>60000</v>
      </c>
      <c r="I993" s="639">
        <f>5000*13</f>
        <v>65000</v>
      </c>
    </row>
    <row r="994" spans="1:9" ht="15.75">
      <c r="A994" s="410"/>
      <c r="B994" s="411"/>
      <c r="C994" s="411" t="s">
        <v>294</v>
      </c>
      <c r="D994" s="490"/>
      <c r="E994" s="434">
        <v>122149.82</v>
      </c>
      <c r="F994" s="637"/>
      <c r="G994" s="434">
        <f>H994-F994</f>
        <v>0</v>
      </c>
      <c r="H994" s="639"/>
      <c r="I994" s="639">
        <f>329445.22+55321.4</f>
        <v>384766.62</v>
      </c>
    </row>
    <row r="995" spans="1:9" ht="15.75">
      <c r="A995" s="410"/>
      <c r="B995" s="411"/>
      <c r="C995" s="563" t="s">
        <v>67</v>
      </c>
      <c r="D995" s="490"/>
      <c r="E995" s="436">
        <f>SUM(E974:E994)</f>
        <v>7053308.74</v>
      </c>
      <c r="F995" s="636">
        <f>SUM(F974:F993)</f>
        <v>3739723.9000000004</v>
      </c>
      <c r="G995" s="436">
        <f>SUM(G974:G994)</f>
        <v>4297419.1</v>
      </c>
      <c r="H995" s="436">
        <f>SUM(H974:H994)</f>
        <v>8037143</v>
      </c>
      <c r="I995" s="636">
        <f>SUM(I974:I994)</f>
        <v>9077796.894999998</v>
      </c>
    </row>
    <row r="996" spans="1:9" ht="15.75">
      <c r="A996" s="410"/>
      <c r="B996" s="411"/>
      <c r="C996" s="411"/>
      <c r="D996" s="488"/>
      <c r="E996" s="413"/>
      <c r="F996" s="739"/>
      <c r="G996" s="434"/>
      <c r="H996" s="434"/>
      <c r="I996" s="637"/>
    </row>
    <row r="997" spans="1:9" ht="15.75">
      <c r="A997" s="410"/>
      <c r="B997" s="507">
        <v>1.2</v>
      </c>
      <c r="C997" s="411" t="s">
        <v>191</v>
      </c>
      <c r="D997" s="488"/>
      <c r="E997" s="575"/>
      <c r="F997" s="818"/>
      <c r="G997" s="434"/>
      <c r="H997" s="434"/>
      <c r="I997" s="637"/>
    </row>
    <row r="998" spans="1:9" ht="15.75">
      <c r="A998" s="410"/>
      <c r="B998" s="411"/>
      <c r="C998" s="411" t="s">
        <v>199</v>
      </c>
      <c r="D998" s="488"/>
      <c r="E998" s="413"/>
      <c r="F998" s="637"/>
      <c r="G998" s="434"/>
      <c r="H998" s="434"/>
      <c r="I998" s="637"/>
    </row>
    <row r="999" spans="1:9" ht="15.75">
      <c r="A999" s="410"/>
      <c r="B999" s="411"/>
      <c r="C999" s="411"/>
      <c r="D999" s="488"/>
      <c r="E999" s="413"/>
      <c r="F999" s="637"/>
      <c r="G999" s="434"/>
      <c r="H999" s="434"/>
      <c r="I999" s="637"/>
    </row>
    <row r="1000" spans="1:9" ht="15.75">
      <c r="A1000" s="410"/>
      <c r="B1000" s="411"/>
      <c r="C1000" s="411" t="s">
        <v>69</v>
      </c>
      <c r="D1000" s="488"/>
      <c r="E1000" s="438">
        <v>154634</v>
      </c>
      <c r="F1000" s="802">
        <v>11880</v>
      </c>
      <c r="G1000" s="434">
        <f aca="true" t="shared" si="27" ref="G1000:G1006">H1000-F1000</f>
        <v>178120</v>
      </c>
      <c r="H1000" s="637">
        <v>190000</v>
      </c>
      <c r="I1000" s="637">
        <v>50000</v>
      </c>
    </row>
    <row r="1001" spans="1:9" ht="13.5" customHeight="1">
      <c r="A1001" s="410"/>
      <c r="B1001" s="411"/>
      <c r="C1001" s="411" t="s">
        <v>176</v>
      </c>
      <c r="D1001" s="488"/>
      <c r="E1001" s="438">
        <v>88511</v>
      </c>
      <c r="F1001" s="802">
        <v>0</v>
      </c>
      <c r="G1001" s="434">
        <f t="shared" si="27"/>
        <v>90000</v>
      </c>
      <c r="H1001" s="637">
        <v>90000</v>
      </c>
      <c r="I1001" s="637">
        <v>50000</v>
      </c>
    </row>
    <row r="1002" spans="1:9" ht="15.75">
      <c r="A1002" s="410"/>
      <c r="B1002" s="411"/>
      <c r="C1002" s="411" t="str">
        <f>C39</f>
        <v>Office Supplies Expenses</v>
      </c>
      <c r="D1002" s="490"/>
      <c r="E1002" s="434">
        <v>49970</v>
      </c>
      <c r="F1002" s="637">
        <v>0</v>
      </c>
      <c r="G1002" s="434">
        <f>H1002-F1002</f>
        <v>50000</v>
      </c>
      <c r="H1002" s="637">
        <v>50000</v>
      </c>
      <c r="I1002" s="637">
        <v>50000</v>
      </c>
    </row>
    <row r="1003" spans="1:9" ht="15.75">
      <c r="A1003" s="410"/>
      <c r="B1003" s="411"/>
      <c r="C1003" s="411" t="s">
        <v>74</v>
      </c>
      <c r="D1003" s="488"/>
      <c r="E1003" s="438"/>
      <c r="F1003" s="802">
        <v>0</v>
      </c>
      <c r="G1003" s="434">
        <f t="shared" si="27"/>
        <v>25000</v>
      </c>
      <c r="H1003" s="637">
        <v>25000</v>
      </c>
      <c r="I1003" s="637">
        <v>25000</v>
      </c>
    </row>
    <row r="1004" spans="1:9" ht="15.75">
      <c r="A1004" s="410"/>
      <c r="B1004" s="411"/>
      <c r="C1004" s="411" t="s">
        <v>97</v>
      </c>
      <c r="D1004" s="490"/>
      <c r="E1004" s="434">
        <v>24000</v>
      </c>
      <c r="F1004" s="637">
        <v>12000</v>
      </c>
      <c r="G1004" s="434">
        <f t="shared" si="27"/>
        <v>12000</v>
      </c>
      <c r="H1004" s="637">
        <v>24000</v>
      </c>
      <c r="I1004" s="637">
        <v>24000</v>
      </c>
    </row>
    <row r="1005" spans="1:9" ht="15.75">
      <c r="A1005" s="410"/>
      <c r="B1005" s="411"/>
      <c r="C1005" s="411" t="s">
        <v>265</v>
      </c>
      <c r="D1005" s="490"/>
      <c r="E1005" s="434">
        <v>28410</v>
      </c>
      <c r="F1005" s="637">
        <v>20700</v>
      </c>
      <c r="G1005" s="434">
        <f t="shared" si="27"/>
        <v>59300</v>
      </c>
      <c r="H1005" s="637">
        <v>80000</v>
      </c>
      <c r="I1005" s="637">
        <v>80000</v>
      </c>
    </row>
    <row r="1006" spans="1:9" ht="15.75">
      <c r="A1006" s="410"/>
      <c r="B1006" s="411"/>
      <c r="C1006" s="411" t="s">
        <v>491</v>
      </c>
      <c r="D1006" s="490"/>
      <c r="E1006" s="434"/>
      <c r="F1006" s="637"/>
      <c r="G1006" s="434">
        <f t="shared" si="27"/>
        <v>24000</v>
      </c>
      <c r="H1006" s="637">
        <v>24000</v>
      </c>
      <c r="I1006" s="637">
        <v>24000</v>
      </c>
    </row>
    <row r="1007" spans="1:9" ht="15.75">
      <c r="A1007" s="410"/>
      <c r="B1007" s="411"/>
      <c r="C1007" s="411" t="s">
        <v>192</v>
      </c>
      <c r="D1007" s="488"/>
      <c r="E1007" s="1121">
        <f>SUM(E1000:E1005)</f>
        <v>345525</v>
      </c>
      <c r="F1007" s="820"/>
      <c r="G1007" s="1123">
        <f>SUM(G1000:G1006)</f>
        <v>438420</v>
      </c>
      <c r="H1007" s="766"/>
      <c r="I1007" s="1125">
        <f>SUM(I1000:I1006)</f>
        <v>303000</v>
      </c>
    </row>
    <row r="1008" spans="1:9" ht="15.75">
      <c r="A1008" s="410"/>
      <c r="B1008" s="411"/>
      <c r="C1008" s="411" t="s">
        <v>193</v>
      </c>
      <c r="D1008" s="579"/>
      <c r="E1008" s="1122"/>
      <c r="F1008" s="774">
        <f>SUM(F1000:F1007)</f>
        <v>44580</v>
      </c>
      <c r="G1008" s="1124"/>
      <c r="H1008" s="767">
        <f>SUM(H1000:H1007)</f>
        <v>483000</v>
      </c>
      <c r="I1008" s="1126"/>
    </row>
    <row r="1009" spans="1:9" ht="15.75">
      <c r="A1009" s="441">
        <v>2</v>
      </c>
      <c r="B1009" s="411" t="s">
        <v>89</v>
      </c>
      <c r="C1009" s="411"/>
      <c r="D1009" s="488"/>
      <c r="E1009" s="542"/>
      <c r="F1009" s="641"/>
      <c r="G1009" s="553"/>
      <c r="H1009" s="553"/>
      <c r="I1009" s="641"/>
    </row>
    <row r="1010" spans="1:9" ht="15.75">
      <c r="A1010" s="441"/>
      <c r="B1010" s="411"/>
      <c r="C1010" s="411" t="s">
        <v>92</v>
      </c>
      <c r="D1010" s="488"/>
      <c r="E1010" s="519"/>
      <c r="F1010" s="642"/>
      <c r="G1010" s="510">
        <f>H1010-F1010</f>
        <v>50000</v>
      </c>
      <c r="H1010" s="642">
        <v>50000</v>
      </c>
      <c r="I1010" s="642"/>
    </row>
    <row r="1011" spans="1:9" ht="15.75">
      <c r="A1011" s="410"/>
      <c r="B1011" s="411"/>
      <c r="C1011" s="411" t="s">
        <v>94</v>
      </c>
      <c r="D1011" s="500"/>
      <c r="E1011" s="436">
        <f>SUM(E1010:E1010)</f>
        <v>0</v>
      </c>
      <c r="F1011" s="773">
        <f>SUM(F1010:F1010)</f>
        <v>0</v>
      </c>
      <c r="G1011" s="447">
        <f>SUM(G1010:G1010)</f>
        <v>50000</v>
      </c>
      <c r="H1011" s="447">
        <f>SUM(H1010:H1010)</f>
        <v>50000</v>
      </c>
      <c r="I1011" s="773">
        <f>SUM(I1010:I1010)</f>
        <v>0</v>
      </c>
    </row>
    <row r="1012" spans="1:9" ht="15.75">
      <c r="A1012" s="443" t="s">
        <v>615</v>
      </c>
      <c r="B1012" s="444"/>
      <c r="C1012" s="444"/>
      <c r="D1012" s="728"/>
      <c r="E1012" s="580">
        <f>SUM(E995+E1007+E1011)</f>
        <v>7398833.74</v>
      </c>
      <c r="F1012" s="839">
        <f>F1008+F995+F1011</f>
        <v>3784303.9000000004</v>
      </c>
      <c r="G1012" s="523">
        <f>+G1011+G1007+G995</f>
        <v>4785839.1</v>
      </c>
      <c r="H1012" s="523">
        <f>H995+H1008+H1011</f>
        <v>8570143</v>
      </c>
      <c r="I1012" s="839">
        <f>I1007+I995+I1010</f>
        <v>9380796.894999998</v>
      </c>
    </row>
    <row r="1013" spans="1:9" ht="6.75" customHeight="1">
      <c r="A1013" s="480"/>
      <c r="B1013" s="558"/>
      <c r="C1013" s="541"/>
      <c r="D1013" s="595"/>
      <c r="E1013" s="792"/>
      <c r="F1013" s="917"/>
      <c r="G1013" s="918"/>
      <c r="H1013" s="919"/>
      <c r="I1013" s="820"/>
    </row>
    <row r="1014" spans="1:9" ht="22.5" customHeight="1">
      <c r="A1014" s="916" t="s">
        <v>562</v>
      </c>
      <c r="B1014" s="455"/>
      <c r="C1014" s="456"/>
      <c r="D1014" s="903"/>
      <c r="E1014" s="904"/>
      <c r="F1014" s="905"/>
      <c r="G1014" s="906"/>
      <c r="H1014" s="907"/>
      <c r="I1014" s="908"/>
    </row>
    <row r="1015" spans="1:9" ht="15.75">
      <c r="A1015" s="586" t="s">
        <v>112</v>
      </c>
      <c r="B1015" s="587"/>
      <c r="C1015" s="588"/>
      <c r="D1015" s="488"/>
      <c r="E1015" s="434">
        <v>1050700</v>
      </c>
      <c r="F1015" s="807"/>
      <c r="G1015" s="434">
        <f>H1015-F1015</f>
        <v>1200000</v>
      </c>
      <c r="H1015" s="637">
        <v>1200000</v>
      </c>
      <c r="I1015" s="637">
        <v>1200000</v>
      </c>
    </row>
    <row r="1016" spans="1:9" ht="15.75">
      <c r="A1016" s="586" t="s">
        <v>285</v>
      </c>
      <c r="B1016" s="587"/>
      <c r="C1016" s="588"/>
      <c r="D1016" s="485"/>
      <c r="E1016" s="434">
        <v>1616784</v>
      </c>
      <c r="F1016" s="807">
        <v>398475</v>
      </c>
      <c r="G1016" s="434">
        <f>H1016-F1016</f>
        <v>1385525</v>
      </c>
      <c r="H1016" s="637">
        <v>1784000</v>
      </c>
      <c r="I1016" s="637">
        <v>1784000</v>
      </c>
    </row>
    <row r="1017" spans="1:9" ht="15.75">
      <c r="A1017" s="586" t="s">
        <v>286</v>
      </c>
      <c r="B1017" s="587"/>
      <c r="C1017" s="588"/>
      <c r="D1017" s="485"/>
      <c r="E1017" s="434">
        <v>143999.15</v>
      </c>
      <c r="F1017" s="807">
        <v>44850</v>
      </c>
      <c r="G1017" s="434">
        <f>H1017-F1017</f>
        <v>139150</v>
      </c>
      <c r="H1017" s="637">
        <v>184000</v>
      </c>
      <c r="I1017" s="637">
        <v>184000</v>
      </c>
    </row>
    <row r="1018" spans="1:9" ht="15.75">
      <c r="A1018" s="497" t="s">
        <v>613</v>
      </c>
      <c r="B1018" s="498"/>
      <c r="C1018" s="745"/>
      <c r="D1018" s="566"/>
      <c r="E1018" s="775">
        <f>E1015+E1016+E1017</f>
        <v>2811483.15</v>
      </c>
      <c r="F1018" s="775">
        <f>F1015+F1016+F1017</f>
        <v>443325</v>
      </c>
      <c r="G1018" s="775">
        <f>G1015+G1016+G1017</f>
        <v>2724675</v>
      </c>
      <c r="H1018" s="775">
        <f>H1015+H1016+H1017</f>
        <v>3168000</v>
      </c>
      <c r="I1018" s="775">
        <f>I1015+I1016+I1017</f>
        <v>3168000</v>
      </c>
    </row>
    <row r="1019" spans="1:9" ht="15.75">
      <c r="A1019" s="443" t="s">
        <v>679</v>
      </c>
      <c r="B1019" s="746"/>
      <c r="C1019" s="747"/>
      <c r="D1019" s="748"/>
      <c r="E1019" s="775">
        <f>E1018+E1012</f>
        <v>10210316.89</v>
      </c>
      <c r="F1019" s="775">
        <f>F1018+F1012</f>
        <v>4227628.9</v>
      </c>
      <c r="G1019" s="775">
        <f>G1018+G1012</f>
        <v>7510514.1</v>
      </c>
      <c r="H1019" s="775">
        <f>H1018+H1012</f>
        <v>11738143</v>
      </c>
      <c r="I1019" s="775">
        <f>I1018+I1012</f>
        <v>12548796.894999998</v>
      </c>
    </row>
    <row r="1020" spans="1:9" ht="15.75">
      <c r="A1020" s="414"/>
      <c r="B1020" s="563"/>
      <c r="C1020" s="581"/>
      <c r="D1020" s="735"/>
      <c r="E1020" s="511"/>
      <c r="F1020" s="248"/>
      <c r="G1020" s="570"/>
      <c r="H1020" s="563"/>
      <c r="I1020" s="641"/>
    </row>
    <row r="1021" spans="1:9" ht="15.75">
      <c r="A1021" s="414"/>
      <c r="B1021" s="563"/>
      <c r="C1021" s="581"/>
      <c r="D1021" s="735"/>
      <c r="E1021" s="511"/>
      <c r="F1021" s="248"/>
      <c r="G1021" s="570"/>
      <c r="H1021" s="563"/>
      <c r="I1021" s="641"/>
    </row>
    <row r="1022" spans="1:9" ht="15.75">
      <c r="A1022" s="414"/>
      <c r="B1022" s="563"/>
      <c r="C1022" s="581"/>
      <c r="D1022" s="735"/>
      <c r="E1022" s="511"/>
      <c r="F1022" s="248"/>
      <c r="G1022" s="570"/>
      <c r="H1022" s="563"/>
      <c r="I1022" s="641"/>
    </row>
    <row r="1023" spans="1:9" ht="15.75">
      <c r="A1023" s="414"/>
      <c r="B1023" s="563"/>
      <c r="C1023" s="581"/>
      <c r="D1023" s="735"/>
      <c r="E1023" s="511"/>
      <c r="F1023" s="248"/>
      <c r="G1023" s="570"/>
      <c r="H1023" s="563"/>
      <c r="I1023" s="641"/>
    </row>
    <row r="1024" spans="1:9" ht="15.75">
      <c r="A1024" s="414"/>
      <c r="B1024" s="563"/>
      <c r="C1024" s="581"/>
      <c r="D1024" s="735"/>
      <c r="E1024" s="511"/>
      <c r="F1024" s="248"/>
      <c r="G1024" s="570"/>
      <c r="H1024" s="563"/>
      <c r="I1024" s="641"/>
    </row>
    <row r="1025" spans="1:9" ht="15.75">
      <c r="A1025" s="414"/>
      <c r="B1025" s="563"/>
      <c r="C1025" s="581"/>
      <c r="D1025" s="735"/>
      <c r="E1025" s="511"/>
      <c r="F1025" s="248"/>
      <c r="G1025" s="570"/>
      <c r="H1025" s="563"/>
      <c r="I1025" s="641"/>
    </row>
    <row r="1026" spans="1:9" ht="15.75">
      <c r="A1026" s="414"/>
      <c r="B1026" s="563"/>
      <c r="C1026" s="581"/>
      <c r="D1026" s="560"/>
      <c r="E1026" s="511"/>
      <c r="F1026" s="248"/>
      <c r="G1026" s="570"/>
      <c r="H1026" s="563"/>
      <c r="I1026" s="641"/>
    </row>
    <row r="1027" spans="1:9" ht="18">
      <c r="A1027" s="460" t="s">
        <v>196</v>
      </c>
      <c r="B1027" s="503"/>
      <c r="C1027" s="581"/>
      <c r="D1027" s="463"/>
      <c r="E1027" s="469" t="s">
        <v>197</v>
      </c>
      <c r="F1027" s="16"/>
      <c r="G1027" s="1091" t="s">
        <v>198</v>
      </c>
      <c r="H1027" s="1091"/>
      <c r="I1027" s="862"/>
    </row>
    <row r="1028" spans="1:9" ht="18">
      <c r="A1028" s="460"/>
      <c r="B1028" s="465"/>
      <c r="C1028" s="465"/>
      <c r="D1028" s="463"/>
      <c r="E1028" s="467"/>
      <c r="F1028" s="16"/>
      <c r="G1028" s="465"/>
      <c r="H1028" s="465"/>
      <c r="I1028" s="862"/>
    </row>
    <row r="1029" spans="1:9" ht="18">
      <c r="A1029" s="460"/>
      <c r="B1029" s="465"/>
      <c r="C1029" s="465"/>
      <c r="D1029" s="463"/>
      <c r="E1029" s="525"/>
      <c r="F1029" s="16"/>
      <c r="G1029" s="465"/>
      <c r="H1029" s="465"/>
      <c r="I1029" s="249"/>
    </row>
    <row r="1030" spans="1:9" ht="18">
      <c r="A1030" s="460"/>
      <c r="B1030" s="465"/>
      <c r="C1030" s="465"/>
      <c r="D1030" s="463"/>
      <c r="E1030" s="467"/>
      <c r="F1030" s="16"/>
      <c r="G1030" s="465"/>
      <c r="H1030" s="465"/>
      <c r="I1030" s="249" t="s">
        <v>279</v>
      </c>
    </row>
    <row r="1031" spans="1:9" ht="18">
      <c r="A1031" s="460" t="s">
        <v>501</v>
      </c>
      <c r="B1031" s="465"/>
      <c r="C1031" s="465"/>
      <c r="D1031" s="463"/>
      <c r="E1031" s="464" t="str">
        <f>E185</f>
        <v>JANE B. LARIOSA</v>
      </c>
      <c r="F1031" s="16"/>
      <c r="G1031" s="1091" t="str">
        <f>G116</f>
        <v>WILLIAM E. CALVEZ, CE</v>
      </c>
      <c r="H1031" s="1091"/>
      <c r="I1031" s="1092"/>
    </row>
    <row r="1032" spans="1:9" ht="18">
      <c r="A1032" s="470" t="s">
        <v>436</v>
      </c>
      <c r="B1032" s="433"/>
      <c r="C1032" s="433"/>
      <c r="D1032" s="504"/>
      <c r="E1032" s="505" t="str">
        <f>E186</f>
        <v>AO II/OIC MBO</v>
      </c>
      <c r="F1032" s="16"/>
      <c r="G1032" s="1104" t="s">
        <v>155</v>
      </c>
      <c r="H1032" s="1104"/>
      <c r="I1032" s="1105"/>
    </row>
    <row r="1033" spans="1:9" ht="18">
      <c r="A1033" s="472"/>
      <c r="B1033" s="473"/>
      <c r="C1033" s="473"/>
      <c r="D1033" s="474"/>
      <c r="E1033" s="475"/>
      <c r="F1033" s="840"/>
      <c r="G1033" s="582"/>
      <c r="H1033" s="582"/>
      <c r="I1033" s="880"/>
    </row>
    <row r="1034" spans="1:9" ht="15.75">
      <c r="A1034" s="576"/>
      <c r="B1034" s="576"/>
      <c r="C1034" s="576"/>
      <c r="D1034" s="577"/>
      <c r="E1034" s="492"/>
      <c r="F1034" s="837"/>
      <c r="G1034" s="576"/>
      <c r="H1034" s="576"/>
      <c r="I1034" s="837"/>
    </row>
    <row r="1035" spans="1:9" ht="15.75">
      <c r="A1035" s="576"/>
      <c r="B1035" s="576"/>
      <c r="C1035" s="576"/>
      <c r="D1035" s="577"/>
      <c r="E1035" s="492"/>
      <c r="F1035" s="837"/>
      <c r="G1035" s="576"/>
      <c r="H1035" s="576"/>
      <c r="I1035" s="837"/>
    </row>
    <row r="1036" spans="1:9" ht="15.75">
      <c r="A1036" s="576"/>
      <c r="B1036" s="576"/>
      <c r="C1036" s="576"/>
      <c r="D1036" s="577"/>
      <c r="E1036" s="492"/>
      <c r="F1036" s="837"/>
      <c r="G1036" s="576"/>
      <c r="H1036" s="576"/>
      <c r="I1036" s="837"/>
    </row>
    <row r="1037" spans="1:9" ht="15.75">
      <c r="A1037" s="576"/>
      <c r="B1037" s="576"/>
      <c r="C1037" s="576"/>
      <c r="D1037" s="577"/>
      <c r="E1037" s="492"/>
      <c r="F1037" s="837"/>
      <c r="G1037" s="576"/>
      <c r="H1037" s="576"/>
      <c r="I1037" s="837"/>
    </row>
    <row r="1038" spans="1:9" ht="15.75">
      <c r="A1038" s="576"/>
      <c r="B1038" s="576"/>
      <c r="C1038" s="576"/>
      <c r="D1038" s="577"/>
      <c r="E1038" s="492"/>
      <c r="F1038" s="837"/>
      <c r="G1038" s="576"/>
      <c r="H1038" s="576"/>
      <c r="I1038" s="837"/>
    </row>
    <row r="1039" spans="1:9" ht="15.75">
      <c r="A1039" s="576"/>
      <c r="B1039" s="576"/>
      <c r="C1039" s="576"/>
      <c r="D1039" s="577"/>
      <c r="E1039" s="492"/>
      <c r="F1039" s="837"/>
      <c r="G1039" s="576"/>
      <c r="H1039" s="576"/>
      <c r="I1039" s="837"/>
    </row>
    <row r="1040" spans="1:9" ht="15.75">
      <c r="A1040" s="576"/>
      <c r="B1040" s="576"/>
      <c r="C1040" s="576"/>
      <c r="D1040" s="577"/>
      <c r="E1040" s="492"/>
      <c r="F1040" s="837"/>
      <c r="G1040" s="576"/>
      <c r="H1040" s="576"/>
      <c r="I1040" s="837"/>
    </row>
    <row r="1041" spans="1:9" ht="15.75">
      <c r="A1041" s="576"/>
      <c r="B1041" s="576"/>
      <c r="C1041" s="576"/>
      <c r="D1041" s="577"/>
      <c r="E1041" s="492"/>
      <c r="F1041" s="837"/>
      <c r="G1041" s="576"/>
      <c r="H1041" s="576"/>
      <c r="I1041" s="837"/>
    </row>
    <row r="1042" spans="1:9" ht="15.75">
      <c r="A1042" s="576"/>
      <c r="B1042" s="576"/>
      <c r="C1042" s="576"/>
      <c r="D1042" s="577"/>
      <c r="E1042" s="492"/>
      <c r="F1042" s="837"/>
      <c r="G1042" s="576"/>
      <c r="H1042" s="576"/>
      <c r="I1042" s="837"/>
    </row>
    <row r="1043" spans="1:9" ht="15.75">
      <c r="A1043" s="576"/>
      <c r="B1043" s="576"/>
      <c r="C1043" s="576"/>
      <c r="D1043" s="577"/>
      <c r="E1043" s="492"/>
      <c r="F1043" s="837"/>
      <c r="G1043" s="576"/>
      <c r="H1043" s="576"/>
      <c r="I1043" s="837"/>
    </row>
    <row r="1044" spans="1:9" ht="15.75">
      <c r="A1044" s="576"/>
      <c r="B1044" s="576"/>
      <c r="C1044" s="576"/>
      <c r="D1044" s="577"/>
      <c r="E1044" s="492"/>
      <c r="F1044" s="837"/>
      <c r="G1044" s="576"/>
      <c r="H1044" s="576"/>
      <c r="I1044" s="837"/>
    </row>
    <row r="1045" spans="1:9" ht="15.75">
      <c r="A1045" s="576"/>
      <c r="B1045" s="576"/>
      <c r="C1045" s="576"/>
      <c r="D1045" s="577"/>
      <c r="E1045" s="492"/>
      <c r="F1045" s="837"/>
      <c r="G1045" s="576"/>
      <c r="H1045" s="576"/>
      <c r="I1045" s="837"/>
    </row>
    <row r="1046" spans="1:9" ht="15.75">
      <c r="A1046" s="576"/>
      <c r="B1046" s="576"/>
      <c r="C1046" s="576"/>
      <c r="D1046" s="577"/>
      <c r="E1046" s="492"/>
      <c r="F1046" s="837"/>
      <c r="G1046" s="576"/>
      <c r="H1046" s="576"/>
      <c r="I1046" s="837"/>
    </row>
    <row r="1047" spans="1:9" ht="15.75">
      <c r="A1047" s="576"/>
      <c r="B1047" s="576"/>
      <c r="C1047" s="576"/>
      <c r="D1047" s="577"/>
      <c r="E1047" s="492"/>
      <c r="F1047" s="837"/>
      <c r="G1047" s="576"/>
      <c r="H1047" s="576"/>
      <c r="I1047" s="837"/>
    </row>
    <row r="1048" spans="1:9" ht="15.75">
      <c r="A1048" s="576"/>
      <c r="B1048" s="576"/>
      <c r="C1048" s="576"/>
      <c r="D1048" s="577"/>
      <c r="E1048" s="492"/>
      <c r="F1048" s="837"/>
      <c r="G1048" s="576"/>
      <c r="H1048" s="576"/>
      <c r="I1048" s="837"/>
    </row>
    <row r="1049" spans="1:9" ht="15.75">
      <c r="A1049" s="576"/>
      <c r="B1049" s="576"/>
      <c r="C1049" s="576"/>
      <c r="D1049" s="577"/>
      <c r="E1049" s="492"/>
      <c r="F1049" s="837"/>
      <c r="G1049" s="576"/>
      <c r="H1049" s="576"/>
      <c r="I1049" s="837"/>
    </row>
    <row r="1050" spans="1:9" ht="15.75">
      <c r="A1050" s="576"/>
      <c r="B1050" s="576"/>
      <c r="C1050" s="576"/>
      <c r="D1050" s="577"/>
      <c r="E1050" s="492"/>
      <c r="F1050" s="837"/>
      <c r="G1050" s="576"/>
      <c r="H1050" s="576"/>
      <c r="I1050" s="837"/>
    </row>
    <row r="1051" spans="1:9" ht="15.75">
      <c r="A1051" s="480" t="str">
        <f>A3</f>
        <v>LBP Form No. 2</v>
      </c>
      <c r="B1051" s="407"/>
      <c r="C1051" s="407"/>
      <c r="D1051" s="408"/>
      <c r="E1051" s="409"/>
      <c r="F1051" s="797"/>
      <c r="G1051" s="407"/>
      <c r="H1051" s="407"/>
      <c r="I1051" s="854"/>
    </row>
    <row r="1052" spans="1:9" ht="15.75">
      <c r="A1052" s="410"/>
      <c r="B1052" s="411"/>
      <c r="C1052" s="411"/>
      <c r="D1052" s="412"/>
      <c r="E1052" s="413"/>
      <c r="F1052" s="11"/>
      <c r="G1052" s="411"/>
      <c r="H1052" s="411"/>
      <c r="I1052" s="855"/>
    </row>
    <row r="1053" spans="1:9" ht="15.75">
      <c r="A1053" s="1106" t="str">
        <f>A5</f>
        <v>PROGRAMMED APPROPRIATION AND OBLIGATION BY OBJECT OF EXPENDITURE</v>
      </c>
      <c r="B1053" s="1107"/>
      <c r="C1053" s="1107"/>
      <c r="D1053" s="1107"/>
      <c r="E1053" s="1107"/>
      <c r="F1053" s="1107"/>
      <c r="G1053" s="1107"/>
      <c r="H1053" s="1107"/>
      <c r="I1053" s="1108"/>
    </row>
    <row r="1054" spans="1:9" ht="15.75">
      <c r="A1054" s="1109" t="str">
        <f>A6</f>
        <v>Municipality of Trento</v>
      </c>
      <c r="B1054" s="1110"/>
      <c r="C1054" s="1110"/>
      <c r="D1054" s="1110"/>
      <c r="E1054" s="1110"/>
      <c r="F1054" s="1110"/>
      <c r="G1054" s="1110"/>
      <c r="H1054" s="1110"/>
      <c r="I1054" s="1111"/>
    </row>
    <row r="1055" spans="1:9" ht="15.75">
      <c r="A1055" s="414" t="s">
        <v>477</v>
      </c>
      <c r="B1055" s="411"/>
      <c r="C1055" s="411"/>
      <c r="D1055" s="412"/>
      <c r="E1055" s="413"/>
      <c r="F1055" s="11"/>
      <c r="G1055" s="411"/>
      <c r="H1055" s="411"/>
      <c r="I1055" s="855"/>
    </row>
    <row r="1056" spans="1:9" ht="15.75">
      <c r="A1056" s="410"/>
      <c r="B1056" s="411"/>
      <c r="C1056" s="411"/>
      <c r="D1056" s="412"/>
      <c r="E1056" s="413"/>
      <c r="F1056" s="11"/>
      <c r="G1056" s="411"/>
      <c r="H1056" s="411"/>
      <c r="I1056" s="855"/>
    </row>
    <row r="1057" spans="1:11" s="6" customFormat="1" ht="15.75">
      <c r="A1057" s="1112" t="s">
        <v>181</v>
      </c>
      <c r="B1057" s="1113"/>
      <c r="C1057" s="1114"/>
      <c r="D1057" s="530"/>
      <c r="E1057" s="416" t="s">
        <v>7</v>
      </c>
      <c r="F1057" s="1115" t="str">
        <f>F9</f>
        <v>Current Year 2020 (Estimate)</v>
      </c>
      <c r="G1057" s="1116"/>
      <c r="H1057" s="1117"/>
      <c r="I1057" s="856" t="s">
        <v>10</v>
      </c>
      <c r="J1057" s="778"/>
      <c r="K1057" s="778"/>
    </row>
    <row r="1058" spans="1:11" s="6" customFormat="1" ht="15.75">
      <c r="A1058" s="1109"/>
      <c r="B1058" s="1110"/>
      <c r="C1058" s="1111"/>
      <c r="D1058" s="417" t="s">
        <v>5</v>
      </c>
      <c r="E1058" s="486" t="str">
        <f>E10</f>
        <v>2019</v>
      </c>
      <c r="F1058" s="813" t="s">
        <v>8</v>
      </c>
      <c r="G1058" s="485" t="s">
        <v>9</v>
      </c>
      <c r="H1058" s="1118" t="s">
        <v>1</v>
      </c>
      <c r="I1058" s="813">
        <f>I10</f>
        <v>2021</v>
      </c>
      <c r="J1058" s="778"/>
      <c r="K1058" s="778"/>
    </row>
    <row r="1059" spans="1:11" s="6" customFormat="1" ht="15.75">
      <c r="A1059" s="1109"/>
      <c r="B1059" s="1110"/>
      <c r="C1059" s="1111"/>
      <c r="D1059" s="417" t="s">
        <v>12</v>
      </c>
      <c r="E1059" s="486" t="s">
        <v>14</v>
      </c>
      <c r="F1059" s="813" t="s">
        <v>14</v>
      </c>
      <c r="G1059" s="485" t="s">
        <v>15</v>
      </c>
      <c r="H1059" s="1119"/>
      <c r="I1059" s="813" t="s">
        <v>182</v>
      </c>
      <c r="J1059" s="778"/>
      <c r="K1059" s="778"/>
    </row>
    <row r="1060" spans="1:11" s="6" customFormat="1" ht="12.75">
      <c r="A1060" s="1095" t="s">
        <v>183</v>
      </c>
      <c r="B1060" s="1096"/>
      <c r="C1060" s="1097"/>
      <c r="D1060" s="422" t="s">
        <v>184</v>
      </c>
      <c r="E1060" s="423" t="s">
        <v>185</v>
      </c>
      <c r="F1060" s="832" t="s">
        <v>186</v>
      </c>
      <c r="G1060" s="556" t="s">
        <v>187</v>
      </c>
      <c r="H1060" s="556" t="s">
        <v>188</v>
      </c>
      <c r="I1060" s="832" t="s">
        <v>189</v>
      </c>
      <c r="J1060" s="778"/>
      <c r="K1060" s="778"/>
    </row>
    <row r="1061" spans="1:9" ht="15.75">
      <c r="A1061" s="410"/>
      <c r="B1061" s="411"/>
      <c r="C1061" s="411"/>
      <c r="D1061" s="506"/>
      <c r="E1061" s="434"/>
      <c r="F1061" s="815"/>
      <c r="G1061" s="410"/>
      <c r="H1061" s="410"/>
      <c r="I1061" s="867"/>
    </row>
    <row r="1062" spans="1:9" ht="15.75">
      <c r="A1062" s="441">
        <v>1</v>
      </c>
      <c r="B1062" s="430" t="s">
        <v>190</v>
      </c>
      <c r="C1062" s="411"/>
      <c r="D1062" s="488"/>
      <c r="E1062" s="434"/>
      <c r="F1062" s="815"/>
      <c r="G1062" s="410"/>
      <c r="H1062" s="410"/>
      <c r="I1062" s="867"/>
    </row>
    <row r="1063" spans="1:9" ht="15.75">
      <c r="A1063" s="410"/>
      <c r="B1063" s="507">
        <v>1.1</v>
      </c>
      <c r="C1063" s="411" t="s">
        <v>159</v>
      </c>
      <c r="D1063" s="488"/>
      <c r="E1063" s="434"/>
      <c r="F1063" s="815"/>
      <c r="G1063" s="410"/>
      <c r="H1063" s="410"/>
      <c r="I1063" s="821"/>
    </row>
    <row r="1064" spans="1:9" ht="15.75">
      <c r="A1064" s="410"/>
      <c r="B1064" s="411"/>
      <c r="C1064" s="411" t="s">
        <v>52</v>
      </c>
      <c r="D1064" s="488"/>
      <c r="E1064" s="434">
        <v>3128044.84</v>
      </c>
      <c r="F1064" s="637">
        <v>1561400.86</v>
      </c>
      <c r="G1064" s="434">
        <f aca="true" t="shared" si="28" ref="G1064:G1081">H1064-F1064</f>
        <v>1868463.14</v>
      </c>
      <c r="H1064" s="639">
        <v>3429864</v>
      </c>
      <c r="I1064" s="639">
        <v>3512010</v>
      </c>
    </row>
    <row r="1065" spans="1:9" ht="15.75">
      <c r="A1065" s="410"/>
      <c r="B1065" s="411"/>
      <c r="C1065" s="411" t="s">
        <v>53</v>
      </c>
      <c r="D1065" s="488"/>
      <c r="E1065" s="434">
        <v>299091.84</v>
      </c>
      <c r="F1065" s="637">
        <v>136466.62</v>
      </c>
      <c r="G1065" s="434">
        <f t="shared" si="28"/>
        <v>175533.38</v>
      </c>
      <c r="H1065" s="639">
        <f>2000*13*12</f>
        <v>312000</v>
      </c>
      <c r="I1065" s="639">
        <f>2000*14*12</f>
        <v>336000</v>
      </c>
    </row>
    <row r="1066" spans="1:9" ht="15.75">
      <c r="A1066" s="410"/>
      <c r="B1066" s="411"/>
      <c r="C1066" s="411" t="s">
        <v>54</v>
      </c>
      <c r="D1066" s="488"/>
      <c r="E1066" s="434">
        <v>81000</v>
      </c>
      <c r="F1066" s="637">
        <v>40500</v>
      </c>
      <c r="G1066" s="434">
        <f t="shared" si="28"/>
        <v>40500</v>
      </c>
      <c r="H1066" s="639">
        <v>81000</v>
      </c>
      <c r="I1066" s="639">
        <v>81000</v>
      </c>
    </row>
    <row r="1067" spans="1:9" ht="15.75">
      <c r="A1067" s="410"/>
      <c r="B1067" s="411"/>
      <c r="C1067" s="411" t="s">
        <v>55</v>
      </c>
      <c r="D1067" s="488"/>
      <c r="E1067" s="434">
        <v>81000</v>
      </c>
      <c r="F1067" s="637">
        <v>40500</v>
      </c>
      <c r="G1067" s="434">
        <f t="shared" si="28"/>
        <v>40500</v>
      </c>
      <c r="H1067" s="639">
        <v>81000</v>
      </c>
      <c r="I1067" s="639">
        <v>81000</v>
      </c>
    </row>
    <row r="1068" spans="1:9" ht="15.75">
      <c r="A1068" s="410"/>
      <c r="B1068" s="411"/>
      <c r="C1068" s="411" t="s">
        <v>484</v>
      </c>
      <c r="D1068" s="488"/>
      <c r="E1068" s="434">
        <v>78000</v>
      </c>
      <c r="F1068" s="637">
        <v>66000</v>
      </c>
      <c r="G1068" s="434">
        <f t="shared" si="28"/>
        <v>12000</v>
      </c>
      <c r="H1068" s="639">
        <f>6000*13</f>
        <v>78000</v>
      </c>
      <c r="I1068" s="639">
        <f>6000*14</f>
        <v>84000</v>
      </c>
    </row>
    <row r="1069" spans="1:9" ht="15.75">
      <c r="A1069" s="410"/>
      <c r="B1069" s="411"/>
      <c r="C1069" s="411" t="s">
        <v>0</v>
      </c>
      <c r="D1069" s="488"/>
      <c r="E1069" s="434">
        <v>257377</v>
      </c>
      <c r="F1069" s="637">
        <v>0</v>
      </c>
      <c r="G1069" s="434">
        <f t="shared" si="28"/>
        <v>285822</v>
      </c>
      <c r="H1069" s="639">
        <v>285822</v>
      </c>
      <c r="I1069" s="639">
        <f>I1072</f>
        <v>292667.5</v>
      </c>
    </row>
    <row r="1070" spans="1:9" ht="15.75">
      <c r="A1070" s="410"/>
      <c r="B1070" s="411"/>
      <c r="C1070" s="411" t="s">
        <v>59</v>
      </c>
      <c r="D1070" s="488"/>
      <c r="E1070" s="434">
        <v>60000</v>
      </c>
      <c r="F1070" s="637">
        <v>0</v>
      </c>
      <c r="G1070" s="434">
        <f t="shared" si="28"/>
        <v>65000</v>
      </c>
      <c r="H1070" s="639">
        <f>5000*13</f>
        <v>65000</v>
      </c>
      <c r="I1070" s="639">
        <f>5000*14</f>
        <v>70000</v>
      </c>
    </row>
    <row r="1071" spans="1:9" ht="15.75">
      <c r="A1071" s="410"/>
      <c r="B1071" s="411"/>
      <c r="C1071" s="411" t="str">
        <f>C23</f>
        <v>Performance Base Bonus</v>
      </c>
      <c r="D1071" s="488"/>
      <c r="E1071" s="434">
        <v>313949.5</v>
      </c>
      <c r="F1071" s="637">
        <v>176514</v>
      </c>
      <c r="G1071" s="434">
        <f t="shared" si="28"/>
        <v>98652.83000000002</v>
      </c>
      <c r="H1071" s="639">
        <v>275166.83</v>
      </c>
      <c r="I1071" s="639">
        <f>I1064/12</f>
        <v>292667.5</v>
      </c>
    </row>
    <row r="1072" spans="1:9" ht="15.75">
      <c r="A1072" s="410"/>
      <c r="B1072" s="411"/>
      <c r="C1072" s="411" t="str">
        <f>C24</f>
        <v>Mid Year</v>
      </c>
      <c r="D1072" s="488"/>
      <c r="E1072" s="434">
        <v>222612</v>
      </c>
      <c r="F1072" s="637">
        <v>253415</v>
      </c>
      <c r="G1072" s="434">
        <f t="shared" si="28"/>
        <v>32407</v>
      </c>
      <c r="H1072" s="639">
        <v>285822</v>
      </c>
      <c r="I1072" s="639">
        <f>I1071</f>
        <v>292667.5</v>
      </c>
    </row>
    <row r="1073" spans="1:9" ht="15.75">
      <c r="A1073" s="410"/>
      <c r="B1073" s="411"/>
      <c r="C1073" s="411" t="s">
        <v>485</v>
      </c>
      <c r="D1073" s="490"/>
      <c r="E1073" s="434">
        <v>371201.56</v>
      </c>
      <c r="F1073" s="637">
        <v>187368.1</v>
      </c>
      <c r="G1073" s="434">
        <f t="shared" si="28"/>
        <v>224215.58</v>
      </c>
      <c r="H1073" s="639">
        <f>H1064*12%</f>
        <v>411583.68</v>
      </c>
      <c r="I1073" s="639">
        <f>I1064*12%</f>
        <v>421441.2</v>
      </c>
    </row>
    <row r="1074" spans="1:9" ht="15.75">
      <c r="A1074" s="410"/>
      <c r="B1074" s="411"/>
      <c r="C1074" s="411" t="s">
        <v>61</v>
      </c>
      <c r="D1074" s="490"/>
      <c r="E1074" s="434">
        <v>27356.2</v>
      </c>
      <c r="F1074" s="637">
        <v>7659.9</v>
      </c>
      <c r="G1074" s="434">
        <f t="shared" si="28"/>
        <v>60937.38</v>
      </c>
      <c r="H1074" s="639">
        <f>H1064*2%</f>
        <v>68597.28</v>
      </c>
      <c r="I1074" s="639">
        <f>100*14*12</f>
        <v>16800</v>
      </c>
    </row>
    <row r="1075" spans="1:9" ht="15.75">
      <c r="A1075" s="410"/>
      <c r="B1075" s="411"/>
      <c r="C1075" s="411" t="s">
        <v>62</v>
      </c>
      <c r="D1075" s="490"/>
      <c r="E1075" s="434">
        <v>36959.02</v>
      </c>
      <c r="F1075" s="637">
        <v>21602.14</v>
      </c>
      <c r="G1075" s="434">
        <f t="shared" si="28"/>
        <v>29845.82</v>
      </c>
      <c r="H1075" s="639">
        <f>H1064*1.5%</f>
        <v>51447.96</v>
      </c>
      <c r="I1075" s="639">
        <v>61460.18</v>
      </c>
    </row>
    <row r="1076" spans="1:9" ht="15.75">
      <c r="A1076" s="410"/>
      <c r="B1076" s="411"/>
      <c r="C1076" s="411" t="s">
        <v>262</v>
      </c>
      <c r="D1076" s="490"/>
      <c r="E1076" s="434">
        <v>15090.3</v>
      </c>
      <c r="F1076" s="637">
        <v>6799.22</v>
      </c>
      <c r="G1076" s="434">
        <f t="shared" si="28"/>
        <v>8800.779999999999</v>
      </c>
      <c r="H1076" s="639">
        <v>15600</v>
      </c>
      <c r="I1076" s="639">
        <f>100*14*12</f>
        <v>16800</v>
      </c>
    </row>
    <row r="1077" spans="1:9" ht="15.75">
      <c r="A1077" s="410"/>
      <c r="B1077" s="411"/>
      <c r="C1077" s="411" t="s">
        <v>64</v>
      </c>
      <c r="D1077" s="490"/>
      <c r="E1077" s="434"/>
      <c r="F1077" s="637">
        <v>173189.77</v>
      </c>
      <c r="G1077" s="434">
        <f t="shared" si="28"/>
        <v>78210.23000000001</v>
      </c>
      <c r="H1077" s="645">
        <v>251400</v>
      </c>
      <c r="I1077" s="872">
        <v>412547.21</v>
      </c>
    </row>
    <row r="1078" spans="1:9" ht="15.75">
      <c r="A1078" s="410"/>
      <c r="B1078" s="411"/>
      <c r="C1078" s="411" t="s">
        <v>66</v>
      </c>
      <c r="D1078" s="490"/>
      <c r="E1078" s="434">
        <v>300000</v>
      </c>
      <c r="F1078" s="637">
        <v>108104.86</v>
      </c>
      <c r="G1078" s="434">
        <f t="shared" si="28"/>
        <v>543803.08</v>
      </c>
      <c r="H1078" s="639">
        <v>651907.94</v>
      </c>
      <c r="I1078" s="639">
        <f>20000*14</f>
        <v>280000</v>
      </c>
    </row>
    <row r="1079" spans="1:9" ht="15.75">
      <c r="A1079" s="410"/>
      <c r="B1079" s="411"/>
      <c r="C1079" s="411" t="str">
        <f>C31</f>
        <v>Productivity Enhancement Incentive</v>
      </c>
      <c r="D1079" s="488"/>
      <c r="E1079" s="434">
        <v>60000</v>
      </c>
      <c r="F1079" s="637">
        <v>0</v>
      </c>
      <c r="G1079" s="434">
        <f t="shared" si="28"/>
        <v>65000</v>
      </c>
      <c r="H1079" s="639">
        <v>65000</v>
      </c>
      <c r="I1079" s="639">
        <f>5000*14</f>
        <v>70000</v>
      </c>
    </row>
    <row r="1080" spans="1:9" ht="15.75">
      <c r="A1080" s="410"/>
      <c r="B1080" s="411"/>
      <c r="C1080" s="411" t="s">
        <v>207</v>
      </c>
      <c r="D1080" s="490"/>
      <c r="E1080" s="434"/>
      <c r="F1080" s="637">
        <v>0</v>
      </c>
      <c r="G1080" s="434">
        <f t="shared" si="28"/>
        <v>1547.84</v>
      </c>
      <c r="H1080" s="639">
        <v>1547.84</v>
      </c>
      <c r="I1080" s="639">
        <v>1547.84</v>
      </c>
    </row>
    <row r="1081" spans="1:9" ht="15.75">
      <c r="A1081" s="410"/>
      <c r="B1081" s="411"/>
      <c r="C1081" s="411" t="s">
        <v>294</v>
      </c>
      <c r="D1081" s="490"/>
      <c r="E1081" s="434">
        <v>22996.37</v>
      </c>
      <c r="F1081" s="637"/>
      <c r="G1081" s="434">
        <f t="shared" si="28"/>
        <v>0</v>
      </c>
      <c r="H1081" s="639"/>
      <c r="I1081" s="639">
        <v>747884.7</v>
      </c>
    </row>
    <row r="1082" spans="1:9" ht="15.75">
      <c r="A1082" s="410"/>
      <c r="B1082" s="411"/>
      <c r="C1082" s="563" t="s">
        <v>67</v>
      </c>
      <c r="D1082" s="583"/>
      <c r="E1082" s="436">
        <f>SUM(E1064:E1081)</f>
        <v>5354678.629999999</v>
      </c>
      <c r="F1082" s="636">
        <f>SUM(F1064:F1081)</f>
        <v>2779520.47</v>
      </c>
      <c r="G1082" s="436">
        <f>SUM(G1064:G1081)</f>
        <v>3631239.0599999996</v>
      </c>
      <c r="H1082" s="436">
        <f>SUM(H1064:H1081)</f>
        <v>6410759.529999999</v>
      </c>
      <c r="I1082" s="636">
        <f>SUM(I1064:I1081)</f>
        <v>7070493.63</v>
      </c>
    </row>
    <row r="1083" spans="1:9" ht="15.75">
      <c r="A1083" s="410"/>
      <c r="B1083" s="411"/>
      <c r="C1083" s="411"/>
      <c r="D1083" s="488"/>
      <c r="E1083" s="413"/>
      <c r="F1083" s="739"/>
      <c r="G1083" s="434"/>
      <c r="H1083" s="434"/>
      <c r="I1083" s="637"/>
    </row>
    <row r="1084" spans="1:9" ht="15.75">
      <c r="A1084" s="410"/>
      <c r="B1084" s="507">
        <v>1.2</v>
      </c>
      <c r="C1084" s="411" t="s">
        <v>191</v>
      </c>
      <c r="D1084" s="488"/>
      <c r="E1084" s="413"/>
      <c r="F1084" s="637"/>
      <c r="G1084" s="434"/>
      <c r="H1084" s="434"/>
      <c r="I1084" s="637"/>
    </row>
    <row r="1085" spans="1:9" ht="15.75">
      <c r="A1085" s="410"/>
      <c r="B1085" s="411"/>
      <c r="C1085" s="411" t="s">
        <v>199</v>
      </c>
      <c r="D1085" s="488"/>
      <c r="E1085" s="413"/>
      <c r="F1085" s="637"/>
      <c r="G1085" s="434"/>
      <c r="H1085" s="434"/>
      <c r="I1085" s="638"/>
    </row>
    <row r="1086" spans="1:9" ht="15.75">
      <c r="A1086" s="410"/>
      <c r="B1086" s="411"/>
      <c r="C1086" s="411"/>
      <c r="D1086" s="488"/>
      <c r="E1086" s="413"/>
      <c r="F1086" s="637"/>
      <c r="G1086" s="434"/>
      <c r="H1086" s="434"/>
      <c r="I1086" s="638"/>
    </row>
    <row r="1087" spans="1:9" ht="15.75">
      <c r="A1087" s="410"/>
      <c r="B1087" s="411"/>
      <c r="C1087" s="411" t="s">
        <v>69</v>
      </c>
      <c r="D1087" s="488"/>
      <c r="E1087" s="438">
        <v>95578</v>
      </c>
      <c r="F1087" s="802">
        <v>12761</v>
      </c>
      <c r="G1087" s="434">
        <f>H1087-F1087</f>
        <v>277239</v>
      </c>
      <c r="H1087" s="637">
        <v>290000</v>
      </c>
      <c r="I1087" s="637">
        <v>50000</v>
      </c>
    </row>
    <row r="1088" spans="1:9" ht="15.75">
      <c r="A1088" s="410"/>
      <c r="B1088" s="411"/>
      <c r="C1088" s="411" t="s">
        <v>176</v>
      </c>
      <c r="D1088" s="488"/>
      <c r="E1088" s="438">
        <v>195607</v>
      </c>
      <c r="F1088" s="802">
        <v>9298</v>
      </c>
      <c r="G1088" s="434">
        <f aca="true" t="shared" si="29" ref="G1088:G1096">H1088-F1088</f>
        <v>230702</v>
      </c>
      <c r="H1088" s="637">
        <v>240000</v>
      </c>
      <c r="I1088" s="637">
        <v>50000</v>
      </c>
    </row>
    <row r="1089" spans="1:9" ht="15.75">
      <c r="A1089" s="410"/>
      <c r="B1089" s="411"/>
      <c r="C1089" s="411" t="s">
        <v>70</v>
      </c>
      <c r="D1089" s="490"/>
      <c r="E1089" s="434">
        <v>65875.62</v>
      </c>
      <c r="F1089" s="637">
        <v>23733.58</v>
      </c>
      <c r="G1089" s="434">
        <f>H1089-F1089</f>
        <v>76266.42</v>
      </c>
      <c r="H1089" s="637">
        <v>100000</v>
      </c>
      <c r="I1089" s="637">
        <v>100000</v>
      </c>
    </row>
    <row r="1090" spans="1:9" ht="15.75">
      <c r="A1090" s="410"/>
      <c r="B1090" s="411"/>
      <c r="C1090" s="411" t="s">
        <v>228</v>
      </c>
      <c r="D1090" s="488"/>
      <c r="E1090" s="438">
        <v>50000</v>
      </c>
      <c r="F1090" s="802">
        <v>0</v>
      </c>
      <c r="G1090" s="434">
        <f>H1090-F1090</f>
        <v>75000</v>
      </c>
      <c r="H1090" s="637">
        <v>75000</v>
      </c>
      <c r="I1090" s="637">
        <v>75000</v>
      </c>
    </row>
    <row r="1091" spans="1:9" ht="15.75">
      <c r="A1091" s="410"/>
      <c r="B1091" s="411"/>
      <c r="C1091" s="411" t="s">
        <v>86</v>
      </c>
      <c r="D1091" s="490"/>
      <c r="E1091" s="434"/>
      <c r="F1091" s="637">
        <v>0</v>
      </c>
      <c r="G1091" s="434"/>
      <c r="H1091" s="637"/>
      <c r="I1091" s="637"/>
    </row>
    <row r="1092" spans="1:9" ht="15.75">
      <c r="A1092" s="410"/>
      <c r="B1092" s="411"/>
      <c r="C1092" s="411" t="s">
        <v>229</v>
      </c>
      <c r="D1092" s="490"/>
      <c r="E1092" s="434"/>
      <c r="F1092" s="637">
        <v>12000</v>
      </c>
      <c r="G1092" s="434">
        <f>H1092-F1092</f>
        <v>38000</v>
      </c>
      <c r="H1092" s="637">
        <v>50000</v>
      </c>
      <c r="I1092" s="637">
        <v>50000</v>
      </c>
    </row>
    <row r="1093" spans="1:9" ht="15.75">
      <c r="A1093" s="410"/>
      <c r="B1093" s="411"/>
      <c r="C1093" s="411" t="s">
        <v>97</v>
      </c>
      <c r="D1093" s="490"/>
      <c r="E1093" s="434">
        <v>24000</v>
      </c>
      <c r="F1093" s="637">
        <v>0</v>
      </c>
      <c r="G1093" s="434">
        <f t="shared" si="29"/>
        <v>24000</v>
      </c>
      <c r="H1093" s="637">
        <v>24000</v>
      </c>
      <c r="I1093" s="637">
        <v>24000</v>
      </c>
    </row>
    <row r="1094" spans="1:9" ht="15.75">
      <c r="A1094" s="410"/>
      <c r="B1094" s="411"/>
      <c r="C1094" s="411" t="s">
        <v>265</v>
      </c>
      <c r="D1094" s="490"/>
      <c r="E1094" s="434">
        <v>32220</v>
      </c>
      <c r="F1094" s="637">
        <v>0</v>
      </c>
      <c r="G1094" s="434">
        <f t="shared" si="29"/>
        <v>50000</v>
      </c>
      <c r="H1094" s="637">
        <v>50000</v>
      </c>
      <c r="I1094" s="637">
        <v>50000</v>
      </c>
    </row>
    <row r="1095" spans="1:9" ht="15.75">
      <c r="A1095" s="410"/>
      <c r="B1095" s="411"/>
      <c r="C1095" s="411" t="s">
        <v>410</v>
      </c>
      <c r="D1095" s="490"/>
      <c r="E1095" s="434">
        <v>40000</v>
      </c>
      <c r="F1095" s="637">
        <v>6495</v>
      </c>
      <c r="G1095" s="434">
        <f t="shared" si="29"/>
        <v>43505</v>
      </c>
      <c r="H1095" s="637">
        <v>50000</v>
      </c>
      <c r="I1095" s="637">
        <v>50000</v>
      </c>
    </row>
    <row r="1096" spans="1:9" ht="15.75">
      <c r="A1096" s="410"/>
      <c r="B1096" s="411"/>
      <c r="C1096" s="411" t="s">
        <v>491</v>
      </c>
      <c r="D1096" s="490"/>
      <c r="E1096" s="434">
        <v>13581.16</v>
      </c>
      <c r="F1096" s="637"/>
      <c r="G1096" s="434">
        <f t="shared" si="29"/>
        <v>24000</v>
      </c>
      <c r="H1096" s="637">
        <v>24000</v>
      </c>
      <c r="I1096" s="637">
        <v>24000</v>
      </c>
    </row>
    <row r="1097" spans="1:9" ht="15.75">
      <c r="A1097" s="410"/>
      <c r="B1097" s="411"/>
      <c r="C1097" s="563" t="s">
        <v>192</v>
      </c>
      <c r="D1097" s="584"/>
      <c r="E1097" s="1121">
        <f>SUM(E1087:E1096)</f>
        <v>516861.77999999997</v>
      </c>
      <c r="F1097" s="820"/>
      <c r="G1097" s="1123">
        <f>SUM(G1087:G1096)</f>
        <v>838712.42</v>
      </c>
      <c r="H1097" s="766"/>
      <c r="I1097" s="1125">
        <f>SUM(I1087:I1096)</f>
        <v>473000</v>
      </c>
    </row>
    <row r="1098" spans="1:9" ht="15.75">
      <c r="A1098" s="410"/>
      <c r="B1098" s="411"/>
      <c r="C1098" s="563" t="s">
        <v>193</v>
      </c>
      <c r="D1098" s="584"/>
      <c r="E1098" s="1122"/>
      <c r="F1098" s="774">
        <f>SUM(F1087:F1097)</f>
        <v>64287.58</v>
      </c>
      <c r="G1098" s="1124"/>
      <c r="H1098" s="767">
        <f>SUM(H1087:H1097)</f>
        <v>903000</v>
      </c>
      <c r="I1098" s="1126"/>
    </row>
    <row r="1099" spans="1:9" ht="15.75">
      <c r="A1099" s="410"/>
      <c r="B1099" s="411"/>
      <c r="C1099" s="411"/>
      <c r="D1099" s="488"/>
      <c r="E1099" s="434"/>
      <c r="F1099" s="639"/>
      <c r="G1099" s="440"/>
      <c r="H1099" s="440"/>
      <c r="I1099" s="639"/>
    </row>
    <row r="1100" spans="1:9" ht="15.75">
      <c r="A1100" s="441">
        <v>2</v>
      </c>
      <c r="B1100" s="411" t="s">
        <v>89</v>
      </c>
      <c r="C1100" s="411"/>
      <c r="D1100" s="488"/>
      <c r="E1100" s="434"/>
      <c r="F1100" s="639"/>
      <c r="G1100" s="440"/>
      <c r="H1100" s="440"/>
      <c r="I1100" s="821"/>
    </row>
    <row r="1101" spans="1:9" ht="15.75">
      <c r="A1101" s="441"/>
      <c r="B1101" s="411"/>
      <c r="C1101" s="411" t="s">
        <v>194</v>
      </c>
      <c r="D1101" s="488"/>
      <c r="E1101" s="434">
        <v>38699</v>
      </c>
      <c r="F1101" s="639">
        <v>18500</v>
      </c>
      <c r="G1101" s="440">
        <f>H1101-F1101</f>
        <v>31500</v>
      </c>
      <c r="H1101" s="639">
        <v>50000</v>
      </c>
      <c r="I1101" s="639">
        <v>0</v>
      </c>
    </row>
    <row r="1102" spans="1:9" ht="15.75">
      <c r="A1102" s="441"/>
      <c r="B1102" s="411"/>
      <c r="C1102" s="411" t="s">
        <v>92</v>
      </c>
      <c r="D1102" s="488"/>
      <c r="E1102" s="434"/>
      <c r="F1102" s="639">
        <v>46627</v>
      </c>
      <c r="G1102" s="440">
        <f>H1102-F1102</f>
        <v>53373</v>
      </c>
      <c r="H1102" s="639">
        <v>100000</v>
      </c>
      <c r="I1102" s="639">
        <v>0</v>
      </c>
    </row>
    <row r="1103" spans="1:9" ht="15.75">
      <c r="A1103" s="410"/>
      <c r="B1103" s="411"/>
      <c r="C1103" s="563" t="s">
        <v>94</v>
      </c>
      <c r="D1103" s="585"/>
      <c r="E1103" s="764">
        <f>SUM(E1101:E1102)</f>
        <v>38699</v>
      </c>
      <c r="F1103" s="820">
        <f>SUM(F1101:F1102)</f>
        <v>65127</v>
      </c>
      <c r="G1103" s="766">
        <f>SUM(G1101:G1102)</f>
        <v>84873</v>
      </c>
      <c r="H1103" s="766">
        <f>SUM(H1101:H1102)</f>
        <v>150000</v>
      </c>
      <c r="I1103" s="820">
        <f>SUM(I1101:I1102)</f>
        <v>0</v>
      </c>
    </row>
    <row r="1104" spans="1:9" ht="15.75">
      <c r="A1104" s="443" t="s">
        <v>616</v>
      </c>
      <c r="B1104" s="444"/>
      <c r="C1104" s="444"/>
      <c r="D1104" s="728"/>
      <c r="E1104" s="436">
        <f>+E1103+E1097+E1082</f>
        <v>5910239.409999999</v>
      </c>
      <c r="F1104" s="773">
        <f>F1103+F1098+F1082</f>
        <v>2908935.0500000003</v>
      </c>
      <c r="G1104" s="447">
        <f>G1103+G1097+G1082</f>
        <v>4554824.4799999995</v>
      </c>
      <c r="H1104" s="447">
        <f>H1082+H1098+H1103</f>
        <v>7463759.529999999</v>
      </c>
      <c r="I1104" s="773">
        <f>I1103+I1097+I1082</f>
        <v>7543493.63</v>
      </c>
    </row>
    <row r="1105" spans="1:9" ht="12" customHeight="1">
      <c r="A1105" s="795"/>
      <c r="B1105" s="796"/>
      <c r="C1105" s="541"/>
      <c r="D1105" s="595"/>
      <c r="E1105" s="792"/>
      <c r="F1105" s="917"/>
      <c r="G1105" s="918"/>
      <c r="H1105" s="919"/>
      <c r="I1105" s="820"/>
    </row>
    <row r="1106" spans="1:9" ht="18">
      <c r="A1106" s="460" t="s">
        <v>562</v>
      </c>
      <c r="B1106" s="563"/>
      <c r="C1106" s="581"/>
      <c r="D1106" s="608"/>
      <c r="E1106" s="793"/>
      <c r="F1106" s="920"/>
      <c r="G1106" s="921"/>
      <c r="H1106" s="750"/>
      <c r="I1106" s="821"/>
    </row>
    <row r="1107" spans="1:9" ht="6.75" customHeight="1">
      <c r="A1107" s="414"/>
      <c r="B1107" s="563"/>
      <c r="C1107" s="581"/>
      <c r="D1107" s="608"/>
      <c r="E1107" s="793"/>
      <c r="F1107" s="920"/>
      <c r="G1107" s="921"/>
      <c r="H1107" s="750"/>
      <c r="I1107" s="821"/>
    </row>
    <row r="1108" spans="1:9" ht="15" customHeight="1">
      <c r="A1108" s="586" t="s">
        <v>236</v>
      </c>
      <c r="B1108" s="587"/>
      <c r="C1108" s="588"/>
      <c r="D1108" s="488"/>
      <c r="E1108" s="434">
        <v>609661.5</v>
      </c>
      <c r="F1108" s="807">
        <v>14350</v>
      </c>
      <c r="G1108" s="434">
        <f>H1108-F1108</f>
        <v>485650</v>
      </c>
      <c r="H1108" s="637">
        <v>500000</v>
      </c>
      <c r="I1108" s="637">
        <v>500000</v>
      </c>
    </row>
    <row r="1109" spans="1:11" s="8" customFormat="1" ht="15.75">
      <c r="A1109" s="586" t="s">
        <v>402</v>
      </c>
      <c r="B1109" s="587"/>
      <c r="C1109" s="588"/>
      <c r="D1109" s="485"/>
      <c r="E1109" s="413">
        <v>188000</v>
      </c>
      <c r="F1109" s="637">
        <v>123500</v>
      </c>
      <c r="G1109" s="434">
        <f>H1109-F1109</f>
        <v>152500</v>
      </c>
      <c r="H1109" s="637">
        <v>276000</v>
      </c>
      <c r="I1109" s="637">
        <v>276000</v>
      </c>
      <c r="J1109" s="781"/>
      <c r="K1109" s="781"/>
    </row>
    <row r="1110" spans="1:9" ht="17.25" customHeight="1">
      <c r="A1110" s="497" t="s">
        <v>613</v>
      </c>
      <c r="B1110" s="498"/>
      <c r="C1110" s="755"/>
      <c r="D1110" s="751"/>
      <c r="E1110" s="775">
        <f>E1108+E1109</f>
        <v>797661.5</v>
      </c>
      <c r="F1110" s="775">
        <f>F1108+F1109</f>
        <v>137850</v>
      </c>
      <c r="G1110" s="775">
        <f>G1108+G1109</f>
        <v>638150</v>
      </c>
      <c r="H1110" s="775">
        <f>H1108+H1109</f>
        <v>776000</v>
      </c>
      <c r="I1110" s="775">
        <f>I1108+I1109</f>
        <v>776000</v>
      </c>
    </row>
    <row r="1111" spans="1:9" ht="17.25" customHeight="1">
      <c r="A1111" s="443" t="s">
        <v>230</v>
      </c>
      <c r="B1111" s="746"/>
      <c r="C1111" s="747"/>
      <c r="D1111" s="748"/>
      <c r="E1111" s="775">
        <f>E1110+E1104</f>
        <v>6707900.909999999</v>
      </c>
      <c r="F1111" s="775">
        <f>F1110+F1104</f>
        <v>3046785.0500000003</v>
      </c>
      <c r="G1111" s="775">
        <f>G1110+G1104</f>
        <v>5192974.4799999995</v>
      </c>
      <c r="H1111" s="775">
        <f>H1110+H1104</f>
        <v>8239759.529999999</v>
      </c>
      <c r="I1111" s="775">
        <f>I1110+I1104</f>
        <v>8319493.63</v>
      </c>
    </row>
    <row r="1112" spans="1:9" ht="17.25" customHeight="1">
      <c r="A1112" s="414"/>
      <c r="B1112" s="563"/>
      <c r="C1112" s="581"/>
      <c r="D1112" s="735"/>
      <c r="E1112" s="511"/>
      <c r="F1112" s="248"/>
      <c r="G1112" s="570"/>
      <c r="H1112" s="563"/>
      <c r="I1112" s="641"/>
    </row>
    <row r="1113" spans="1:9" ht="15.75">
      <c r="A1113" s="414"/>
      <c r="B1113" s="563"/>
      <c r="C1113" s="581"/>
      <c r="D1113" s="735"/>
      <c r="E1113" s="511"/>
      <c r="F1113" s="248"/>
      <c r="G1113" s="570"/>
      <c r="H1113" s="563"/>
      <c r="I1113" s="641"/>
    </row>
    <row r="1114" spans="1:9" ht="18">
      <c r="A1114" s="460" t="s">
        <v>196</v>
      </c>
      <c r="B1114" s="503"/>
      <c r="C1114" s="581"/>
      <c r="D1114" s="734"/>
      <c r="E1114" s="469" t="s">
        <v>197</v>
      </c>
      <c r="F1114" s="16"/>
      <c r="G1114" s="1091" t="s">
        <v>198</v>
      </c>
      <c r="H1114" s="1091"/>
      <c r="I1114" s="862"/>
    </row>
    <row r="1115" spans="1:9" ht="18">
      <c r="A1115" s="460"/>
      <c r="B1115" s="465"/>
      <c r="C1115" s="483"/>
      <c r="D1115" s="734"/>
      <c r="E1115" s="467"/>
      <c r="F1115" s="16"/>
      <c r="G1115" s="465"/>
      <c r="H1115" s="465"/>
      <c r="I1115" s="862"/>
    </row>
    <row r="1116" spans="1:9" ht="18">
      <c r="A1116" s="460"/>
      <c r="B1116" s="465"/>
      <c r="C1116" s="465"/>
      <c r="D1116" s="463"/>
      <c r="E1116" s="511"/>
      <c r="F1116" s="16"/>
      <c r="G1116" s="465"/>
      <c r="H1116" s="465"/>
      <c r="I1116" s="249"/>
    </row>
    <row r="1117" spans="1:9" ht="18">
      <c r="A1117" s="460"/>
      <c r="B1117" s="465"/>
      <c r="C1117" s="465"/>
      <c r="D1117" s="463"/>
      <c r="E1117" s="467"/>
      <c r="F1117" s="16"/>
      <c r="G1117" s="465"/>
      <c r="H1117" s="465"/>
      <c r="I1117" s="249"/>
    </row>
    <row r="1118" spans="1:9" ht="18">
      <c r="A1118" s="460" t="s">
        <v>437</v>
      </c>
      <c r="B1118" s="465"/>
      <c r="C1118" s="465"/>
      <c r="D1118" s="463"/>
      <c r="E1118" s="464" t="str">
        <f>E116</f>
        <v>JANE B. LARIOSA</v>
      </c>
      <c r="F1118" s="16"/>
      <c r="G1118" s="1091" t="str">
        <f>G116</f>
        <v>WILLIAM E. CALVEZ, CE</v>
      </c>
      <c r="H1118" s="1091"/>
      <c r="I1118" s="1092"/>
    </row>
    <row r="1119" spans="1:9" ht="18">
      <c r="A1119" s="470" t="s">
        <v>438</v>
      </c>
      <c r="B1119" s="433"/>
      <c r="C1119" s="433"/>
      <c r="D1119" s="504"/>
      <c r="E1119" s="505" t="str">
        <f>E117</f>
        <v>AO II/OIC MBO</v>
      </c>
      <c r="F1119" s="16"/>
      <c r="G1119" s="1104" t="s">
        <v>155</v>
      </c>
      <c r="H1119" s="1104"/>
      <c r="I1119" s="1105"/>
    </row>
    <row r="1120" spans="1:9" ht="18">
      <c r="A1120" s="472"/>
      <c r="B1120" s="473"/>
      <c r="C1120" s="473"/>
      <c r="D1120" s="474"/>
      <c r="E1120" s="475"/>
      <c r="F1120" s="840"/>
      <c r="G1120" s="582"/>
      <c r="H1120" s="582"/>
      <c r="I1120" s="880"/>
    </row>
    <row r="1121" spans="1:9" ht="15.75">
      <c r="A1121" s="576"/>
      <c r="B1121" s="576"/>
      <c r="C1121" s="576"/>
      <c r="D1121" s="577"/>
      <c r="E1121" s="492"/>
      <c r="F1121" s="837"/>
      <c r="G1121" s="576"/>
      <c r="H1121" s="576"/>
      <c r="I1121" s="837"/>
    </row>
    <row r="1122" spans="1:9" ht="15.75">
      <c r="A1122" s="576"/>
      <c r="B1122" s="576"/>
      <c r="C1122" s="576"/>
      <c r="D1122" s="577"/>
      <c r="E1122" s="492"/>
      <c r="F1122" s="837"/>
      <c r="G1122" s="576"/>
      <c r="H1122" s="576"/>
      <c r="I1122" s="837"/>
    </row>
    <row r="1123" spans="1:9" ht="15.75">
      <c r="A1123" s="576"/>
      <c r="B1123" s="576"/>
      <c r="C1123" s="576"/>
      <c r="D1123" s="577"/>
      <c r="E1123" s="492"/>
      <c r="F1123" s="837"/>
      <c r="G1123" s="576"/>
      <c r="H1123" s="576"/>
      <c r="I1123" s="837"/>
    </row>
    <row r="1124" spans="1:9" ht="15.75">
      <c r="A1124" s="576"/>
      <c r="B1124" s="576"/>
      <c r="C1124" s="576"/>
      <c r="D1124" s="577"/>
      <c r="E1124" s="492"/>
      <c r="F1124" s="837"/>
      <c r="G1124" s="576"/>
      <c r="H1124" s="576"/>
      <c r="I1124" s="837"/>
    </row>
    <row r="1125" spans="1:9" ht="15.75">
      <c r="A1125" s="576"/>
      <c r="B1125" s="576"/>
      <c r="C1125" s="576"/>
      <c r="D1125" s="577"/>
      <c r="E1125" s="492"/>
      <c r="F1125" s="837"/>
      <c r="G1125" s="576"/>
      <c r="H1125" s="576"/>
      <c r="I1125" s="837"/>
    </row>
    <row r="1126" spans="1:9" ht="15.75">
      <c r="A1126" s="576"/>
      <c r="B1126" s="576"/>
      <c r="C1126" s="576"/>
      <c r="D1126" s="577"/>
      <c r="E1126" s="492"/>
      <c r="F1126" s="837"/>
      <c r="G1126" s="576"/>
      <c r="H1126" s="576"/>
      <c r="I1126" s="837"/>
    </row>
    <row r="1127" spans="1:9" ht="15.75">
      <c r="A1127" s="576"/>
      <c r="B1127" s="576"/>
      <c r="C1127" s="576"/>
      <c r="D1127" s="577"/>
      <c r="E1127" s="492"/>
      <c r="F1127" s="837"/>
      <c r="G1127" s="576"/>
      <c r="H1127" s="576"/>
      <c r="I1127" s="837"/>
    </row>
    <row r="1128" spans="1:9" ht="15.75">
      <c r="A1128" s="576"/>
      <c r="B1128" s="576"/>
      <c r="C1128" s="576"/>
      <c r="D1128" s="577"/>
      <c r="E1128" s="492"/>
      <c r="F1128" s="837"/>
      <c r="G1128" s="576"/>
      <c r="H1128" s="576"/>
      <c r="I1128" s="837"/>
    </row>
    <row r="1129" spans="1:9" ht="15.75">
      <c r="A1129" s="480" t="str">
        <f>A3</f>
        <v>LBP Form No. 2</v>
      </c>
      <c r="B1129" s="407"/>
      <c r="C1129" s="407"/>
      <c r="D1129" s="408"/>
      <c r="E1129" s="409"/>
      <c r="F1129" s="797"/>
      <c r="G1129" s="407"/>
      <c r="H1129" s="407"/>
      <c r="I1129" s="854"/>
    </row>
    <row r="1130" spans="1:9" ht="15.75">
      <c r="A1130" s="410"/>
      <c r="B1130" s="411"/>
      <c r="C1130" s="411"/>
      <c r="D1130" s="412"/>
      <c r="E1130" s="413"/>
      <c r="F1130" s="11"/>
      <c r="G1130" s="411"/>
      <c r="H1130" s="411"/>
      <c r="I1130" s="855"/>
    </row>
    <row r="1131" spans="1:9" ht="15.75">
      <c r="A1131" s="1106" t="str">
        <f>A5</f>
        <v>PROGRAMMED APPROPRIATION AND OBLIGATION BY OBJECT OF EXPENDITURE</v>
      </c>
      <c r="B1131" s="1107"/>
      <c r="C1131" s="1107"/>
      <c r="D1131" s="1107"/>
      <c r="E1131" s="1107"/>
      <c r="F1131" s="1107"/>
      <c r="G1131" s="1107"/>
      <c r="H1131" s="1107"/>
      <c r="I1131" s="1108"/>
    </row>
    <row r="1132" spans="1:9" ht="15.75">
      <c r="A1132" s="1109" t="str">
        <f>A6</f>
        <v>Municipality of Trento</v>
      </c>
      <c r="B1132" s="1110"/>
      <c r="C1132" s="1110"/>
      <c r="D1132" s="1110"/>
      <c r="E1132" s="1110"/>
      <c r="F1132" s="1110"/>
      <c r="G1132" s="1110"/>
      <c r="H1132" s="1110"/>
      <c r="I1132" s="1111"/>
    </row>
    <row r="1133" spans="1:9" ht="15.75">
      <c r="A1133" s="414" t="s">
        <v>478</v>
      </c>
      <c r="B1133" s="411"/>
      <c r="C1133" s="411"/>
      <c r="D1133" s="412"/>
      <c r="E1133" s="413"/>
      <c r="F1133" s="11"/>
      <c r="G1133" s="411"/>
      <c r="H1133" s="411"/>
      <c r="I1133" s="855"/>
    </row>
    <row r="1134" spans="1:9" ht="15.75">
      <c r="A1134" s="410"/>
      <c r="B1134" s="411"/>
      <c r="C1134" s="411"/>
      <c r="D1134" s="412"/>
      <c r="E1134" s="413"/>
      <c r="F1134" s="11"/>
      <c r="G1134" s="411"/>
      <c r="H1134" s="411"/>
      <c r="I1134" s="855"/>
    </row>
    <row r="1135" spans="1:11" s="6" customFormat="1" ht="15.75">
      <c r="A1135" s="1112" t="s">
        <v>181</v>
      </c>
      <c r="B1135" s="1113"/>
      <c r="C1135" s="1114"/>
      <c r="D1135" s="530"/>
      <c r="E1135" s="416" t="s">
        <v>7</v>
      </c>
      <c r="F1135" s="1115" t="str">
        <f>F9</f>
        <v>Current Year 2020 (Estimate)</v>
      </c>
      <c r="G1135" s="1116"/>
      <c r="H1135" s="1117"/>
      <c r="I1135" s="856" t="s">
        <v>10</v>
      </c>
      <c r="J1135" s="778"/>
      <c r="K1135" s="778"/>
    </row>
    <row r="1136" spans="1:11" s="6" customFormat="1" ht="15.75">
      <c r="A1136" s="1109"/>
      <c r="B1136" s="1110"/>
      <c r="C1136" s="1111"/>
      <c r="D1136" s="417" t="s">
        <v>5</v>
      </c>
      <c r="E1136" s="486" t="str">
        <f>E10</f>
        <v>2019</v>
      </c>
      <c r="F1136" s="813" t="s">
        <v>8</v>
      </c>
      <c r="G1136" s="485" t="s">
        <v>231</v>
      </c>
      <c r="H1136" s="1118" t="s">
        <v>1</v>
      </c>
      <c r="I1136" s="813">
        <f>I10</f>
        <v>2021</v>
      </c>
      <c r="J1136" s="778"/>
      <c r="K1136" s="778"/>
    </row>
    <row r="1137" spans="1:11" s="6" customFormat="1" ht="15.75">
      <c r="A1137" s="1109"/>
      <c r="B1137" s="1110"/>
      <c r="C1137" s="1111"/>
      <c r="D1137" s="417" t="s">
        <v>12</v>
      </c>
      <c r="E1137" s="486" t="s">
        <v>14</v>
      </c>
      <c r="F1137" s="813" t="s">
        <v>14</v>
      </c>
      <c r="G1137" s="485" t="s">
        <v>15</v>
      </c>
      <c r="H1137" s="1119"/>
      <c r="I1137" s="813" t="s">
        <v>182</v>
      </c>
      <c r="J1137" s="778"/>
      <c r="K1137" s="778"/>
    </row>
    <row r="1138" spans="1:11" s="6" customFormat="1" ht="12.75">
      <c r="A1138" s="1095" t="s">
        <v>183</v>
      </c>
      <c r="B1138" s="1096"/>
      <c r="C1138" s="1097"/>
      <c r="D1138" s="422" t="s">
        <v>184</v>
      </c>
      <c r="E1138" s="423" t="s">
        <v>185</v>
      </c>
      <c r="F1138" s="832" t="s">
        <v>186</v>
      </c>
      <c r="G1138" s="556" t="s">
        <v>187</v>
      </c>
      <c r="H1138" s="556" t="s">
        <v>188</v>
      </c>
      <c r="I1138" s="832" t="s">
        <v>189</v>
      </c>
      <c r="J1138" s="778"/>
      <c r="K1138" s="778"/>
    </row>
    <row r="1139" spans="1:9" ht="15.75">
      <c r="A1139" s="410"/>
      <c r="B1139" s="411"/>
      <c r="C1139" s="411"/>
      <c r="D1139" s="506"/>
      <c r="E1139" s="434"/>
      <c r="F1139" s="815"/>
      <c r="G1139" s="410"/>
      <c r="H1139" s="410"/>
      <c r="I1139" s="867"/>
    </row>
    <row r="1140" spans="1:9" ht="15.75">
      <c r="A1140" s="441">
        <v>1</v>
      </c>
      <c r="B1140" s="430" t="s">
        <v>190</v>
      </c>
      <c r="C1140" s="411"/>
      <c r="D1140" s="488"/>
      <c r="E1140" s="434"/>
      <c r="F1140" s="815"/>
      <c r="G1140" s="410"/>
      <c r="H1140" s="410"/>
      <c r="I1140" s="639"/>
    </row>
    <row r="1141" spans="1:9" ht="15.75">
      <c r="A1141" s="410"/>
      <c r="B1141" s="507">
        <v>1.1</v>
      </c>
      <c r="C1141" s="411" t="s">
        <v>159</v>
      </c>
      <c r="D1141" s="488"/>
      <c r="E1141" s="434"/>
      <c r="F1141" s="815"/>
      <c r="G1141" s="410"/>
      <c r="H1141" s="410"/>
      <c r="I1141" s="821"/>
    </row>
    <row r="1142" spans="1:9" ht="15.75">
      <c r="A1142" s="410"/>
      <c r="B1142" s="411"/>
      <c r="C1142" s="411" t="s">
        <v>52</v>
      </c>
      <c r="D1142" s="488"/>
      <c r="E1142" s="434">
        <v>1567859.92</v>
      </c>
      <c r="F1142" s="637">
        <v>876858</v>
      </c>
      <c r="G1142" s="434">
        <f aca="true" t="shared" si="30" ref="G1142:G1155">H1142-F1142</f>
        <v>894078</v>
      </c>
      <c r="H1142" s="639">
        <v>1770936</v>
      </c>
      <c r="I1142" s="639">
        <v>1770936</v>
      </c>
    </row>
    <row r="1143" spans="1:9" ht="15.75">
      <c r="A1143" s="410"/>
      <c r="B1143" s="411"/>
      <c r="C1143" s="411" t="s">
        <v>53</v>
      </c>
      <c r="D1143" s="488"/>
      <c r="E1143" s="434">
        <v>120566.38</v>
      </c>
      <c r="F1143" s="637">
        <v>72000</v>
      </c>
      <c r="G1143" s="434">
        <f t="shared" si="30"/>
        <v>72000</v>
      </c>
      <c r="H1143" s="639">
        <v>144000</v>
      </c>
      <c r="I1143" s="639">
        <f>2000*6*12</f>
        <v>144000</v>
      </c>
    </row>
    <row r="1144" spans="1:9" ht="15.75">
      <c r="A1144" s="410"/>
      <c r="B1144" s="411"/>
      <c r="C1144" s="411" t="s">
        <v>54</v>
      </c>
      <c r="D1144" s="488"/>
      <c r="E1144" s="434">
        <v>81000</v>
      </c>
      <c r="F1144" s="637">
        <v>40500</v>
      </c>
      <c r="G1144" s="434">
        <f t="shared" si="30"/>
        <v>40500</v>
      </c>
      <c r="H1144" s="639">
        <v>81000</v>
      </c>
      <c r="I1144" s="639">
        <v>81000</v>
      </c>
    </row>
    <row r="1145" spans="1:9" ht="15.75">
      <c r="A1145" s="410"/>
      <c r="B1145" s="411"/>
      <c r="C1145" s="411" t="s">
        <v>55</v>
      </c>
      <c r="D1145" s="488"/>
      <c r="E1145" s="434">
        <v>81000</v>
      </c>
      <c r="F1145" s="637">
        <v>40500</v>
      </c>
      <c r="G1145" s="434">
        <f t="shared" si="30"/>
        <v>40500</v>
      </c>
      <c r="H1145" s="639">
        <v>81000</v>
      </c>
      <c r="I1145" s="639">
        <v>81000</v>
      </c>
    </row>
    <row r="1146" spans="1:9" ht="15.75">
      <c r="A1146" s="410"/>
      <c r="B1146" s="411"/>
      <c r="C1146" s="411" t="s">
        <v>484</v>
      </c>
      <c r="D1146" s="488"/>
      <c r="E1146" s="434">
        <v>30000</v>
      </c>
      <c r="F1146" s="637">
        <v>36000</v>
      </c>
      <c r="G1146" s="434">
        <f t="shared" si="30"/>
        <v>0</v>
      </c>
      <c r="H1146" s="639">
        <f>6000*6</f>
        <v>36000</v>
      </c>
      <c r="I1146" s="639">
        <f>6000*6</f>
        <v>36000</v>
      </c>
    </row>
    <row r="1147" spans="1:9" ht="15.75">
      <c r="A1147" s="410"/>
      <c r="B1147" s="411"/>
      <c r="C1147" s="411" t="s">
        <v>58</v>
      </c>
      <c r="D1147" s="488"/>
      <c r="E1147" s="434">
        <v>293683.64</v>
      </c>
      <c r="F1147" s="637">
        <v>142093.5</v>
      </c>
      <c r="G1147" s="434">
        <f t="shared" si="30"/>
        <v>199307.75</v>
      </c>
      <c r="H1147" s="639">
        <v>341401.25</v>
      </c>
      <c r="I1147" s="639">
        <f>I1142*25%</f>
        <v>442734</v>
      </c>
    </row>
    <row r="1148" spans="1:9" ht="15.75">
      <c r="A1148" s="410"/>
      <c r="B1148" s="411"/>
      <c r="C1148" s="411" t="s">
        <v>0</v>
      </c>
      <c r="D1148" s="488"/>
      <c r="E1148" s="434">
        <v>130932</v>
      </c>
      <c r="F1148" s="637">
        <v>0</v>
      </c>
      <c r="G1148" s="434">
        <f t="shared" si="30"/>
        <v>147578</v>
      </c>
      <c r="H1148" s="639">
        <v>147578</v>
      </c>
      <c r="I1148" s="639">
        <f>I1151</f>
        <v>147578</v>
      </c>
    </row>
    <row r="1149" spans="1:9" ht="15.75">
      <c r="A1149" s="410"/>
      <c r="B1149" s="411"/>
      <c r="C1149" s="411" t="s">
        <v>59</v>
      </c>
      <c r="D1149" s="488"/>
      <c r="E1149" s="434">
        <v>25000</v>
      </c>
      <c r="F1149" s="637">
        <v>0</v>
      </c>
      <c r="G1149" s="434">
        <f t="shared" si="30"/>
        <v>30000</v>
      </c>
      <c r="H1149" s="639">
        <f>5000*6</f>
        <v>30000</v>
      </c>
      <c r="I1149" s="639">
        <f>5000*6</f>
        <v>30000</v>
      </c>
    </row>
    <row r="1150" spans="1:9" ht="15.75">
      <c r="A1150" s="410"/>
      <c r="B1150" s="411"/>
      <c r="C1150" s="411" t="str">
        <f>C23</f>
        <v>Performance Base Bonus</v>
      </c>
      <c r="D1150" s="488"/>
      <c r="E1150" s="434">
        <v>126567.09</v>
      </c>
      <c r="F1150" s="637">
        <v>85271.55</v>
      </c>
      <c r="G1150" s="434">
        <f t="shared" si="30"/>
        <v>56255.2</v>
      </c>
      <c r="H1150" s="639">
        <v>141526.75</v>
      </c>
      <c r="I1150" s="639">
        <f>I1142/12</f>
        <v>147578</v>
      </c>
    </row>
    <row r="1151" spans="1:9" ht="15.75">
      <c r="A1151" s="410"/>
      <c r="B1151" s="411"/>
      <c r="C1151" s="411" t="str">
        <f>C24</f>
        <v>Mid Year</v>
      </c>
      <c r="D1151" s="488"/>
      <c r="E1151" s="434">
        <v>115850</v>
      </c>
      <c r="F1151" s="637">
        <v>146143</v>
      </c>
      <c r="G1151" s="434">
        <f t="shared" si="30"/>
        <v>1435</v>
      </c>
      <c r="H1151" s="639">
        <v>147578</v>
      </c>
      <c r="I1151" s="639">
        <f>I1150</f>
        <v>147578</v>
      </c>
    </row>
    <row r="1152" spans="1:9" ht="15.75">
      <c r="A1152" s="410"/>
      <c r="B1152" s="411"/>
      <c r="C1152" s="411" t="s">
        <v>485</v>
      </c>
      <c r="D1152" s="490"/>
      <c r="E1152" s="434">
        <v>186870.83</v>
      </c>
      <c r="F1152" s="637">
        <v>105222.96</v>
      </c>
      <c r="G1152" s="434">
        <f t="shared" si="30"/>
        <v>107289.35999999997</v>
      </c>
      <c r="H1152" s="639">
        <f>H1142*12%</f>
        <v>212512.31999999998</v>
      </c>
      <c r="I1152" s="639">
        <f>I1142*12%</f>
        <v>212512.31999999998</v>
      </c>
    </row>
    <row r="1153" spans="1:9" ht="15.75">
      <c r="A1153" s="410"/>
      <c r="B1153" s="411"/>
      <c r="C1153" s="411" t="s">
        <v>61</v>
      </c>
      <c r="D1153" s="490"/>
      <c r="E1153" s="434">
        <v>6562.48</v>
      </c>
      <c r="F1153" s="637">
        <v>3638.54</v>
      </c>
      <c r="G1153" s="434">
        <f t="shared" si="30"/>
        <v>31780.18</v>
      </c>
      <c r="H1153" s="639">
        <f>H1142*2%</f>
        <v>35418.72</v>
      </c>
      <c r="I1153" s="639">
        <f>100*6*12</f>
        <v>7200</v>
      </c>
    </row>
    <row r="1154" spans="1:9" ht="15.75">
      <c r="A1154" s="410"/>
      <c r="B1154" s="411"/>
      <c r="C1154" s="411" t="s">
        <v>62</v>
      </c>
      <c r="D1154" s="490"/>
      <c r="E1154" s="434">
        <v>15761.67</v>
      </c>
      <c r="F1154" s="637">
        <v>11554.46</v>
      </c>
      <c r="G1154" s="434">
        <f t="shared" si="30"/>
        <v>15009.59</v>
      </c>
      <c r="H1154" s="639">
        <v>26564.05</v>
      </c>
      <c r="I1154" s="639">
        <f>I1142*1.75%</f>
        <v>30991.380000000005</v>
      </c>
    </row>
    <row r="1155" spans="1:9" ht="15.75">
      <c r="A1155" s="410"/>
      <c r="B1155" s="411"/>
      <c r="C1155" s="411" t="s">
        <v>262</v>
      </c>
      <c r="D1155" s="490"/>
      <c r="E1155" s="434">
        <v>5996.32</v>
      </c>
      <c r="F1155" s="637">
        <v>3599.22</v>
      </c>
      <c r="G1155" s="434">
        <f t="shared" si="30"/>
        <v>3600.78</v>
      </c>
      <c r="H1155" s="639">
        <v>7200</v>
      </c>
      <c r="I1155" s="639">
        <f>100*6*12</f>
        <v>7200</v>
      </c>
    </row>
    <row r="1156" spans="1:9" ht="15.75">
      <c r="A1156" s="410"/>
      <c r="B1156" s="411"/>
      <c r="C1156" s="411" t="s">
        <v>64</v>
      </c>
      <c r="D1156" s="490"/>
      <c r="E1156" s="434"/>
      <c r="F1156" s="637"/>
      <c r="G1156" s="434"/>
      <c r="H1156" s="639"/>
      <c r="I1156" s="639"/>
    </row>
    <row r="1157" spans="1:9" ht="15.75">
      <c r="A1157" s="410"/>
      <c r="B1157" s="411"/>
      <c r="C1157" s="411" t="s">
        <v>66</v>
      </c>
      <c r="D1157" s="490"/>
      <c r="E1157" s="434">
        <v>125000</v>
      </c>
      <c r="F1157" s="637">
        <v>0</v>
      </c>
      <c r="G1157" s="434">
        <f>H1157-F1157</f>
        <v>351214.59</v>
      </c>
      <c r="H1157" s="639">
        <v>351214.59</v>
      </c>
      <c r="I1157" s="639">
        <f>20000*6</f>
        <v>120000</v>
      </c>
    </row>
    <row r="1158" spans="1:9" ht="15.75">
      <c r="A1158" s="410"/>
      <c r="B1158" s="411"/>
      <c r="C1158" s="411" t="str">
        <f>C31</f>
        <v>Productivity Enhancement Incentive</v>
      </c>
      <c r="D1158" s="488"/>
      <c r="E1158" s="434">
        <v>25000</v>
      </c>
      <c r="F1158" s="637">
        <v>0</v>
      </c>
      <c r="G1158" s="434">
        <f>H1158-F1158</f>
        <v>30000</v>
      </c>
      <c r="H1158" s="639">
        <f>5000*6</f>
        <v>30000</v>
      </c>
      <c r="I1158" s="639">
        <f>5000*6</f>
        <v>30000</v>
      </c>
    </row>
    <row r="1159" spans="1:9" ht="15.75">
      <c r="A1159" s="410"/>
      <c r="B1159" s="411"/>
      <c r="C1159" s="411" t="s">
        <v>294</v>
      </c>
      <c r="D1159" s="490"/>
      <c r="E1159" s="434">
        <v>63750.74</v>
      </c>
      <c r="F1159" s="637"/>
      <c r="G1159" s="434">
        <f>H1159-F1159</f>
        <v>0</v>
      </c>
      <c r="H1159" s="639"/>
      <c r="I1159" s="639">
        <f>3700925.3-3334974.95</f>
        <v>365950.3499999996</v>
      </c>
    </row>
    <row r="1160" spans="1:9" ht="15.75">
      <c r="A1160" s="410"/>
      <c r="B1160" s="411"/>
      <c r="C1160" s="411" t="s">
        <v>67</v>
      </c>
      <c r="D1160" s="490"/>
      <c r="E1160" s="436">
        <f>SUM(E1142:E1159)</f>
        <v>3001401.07</v>
      </c>
      <c r="F1160" s="636">
        <f>SUM(F1142:F1159)</f>
        <v>1563381.23</v>
      </c>
      <c r="G1160" s="436">
        <f>SUM(G1142:G1159)</f>
        <v>2020548.45</v>
      </c>
      <c r="H1160" s="436">
        <f>SUM(H1142:H1159)</f>
        <v>3583929.6799999997</v>
      </c>
      <c r="I1160" s="636">
        <f>SUM(I1142:I1159)</f>
        <v>3802258.0499999993</v>
      </c>
    </row>
    <row r="1161" spans="1:9" ht="15.75">
      <c r="A1161" s="410"/>
      <c r="B1161" s="411"/>
      <c r="C1161" s="411"/>
      <c r="D1161" s="488"/>
      <c r="E1161" s="413"/>
      <c r="F1161" s="739"/>
      <c r="G1161" s="434"/>
      <c r="H1161" s="434" t="s">
        <v>235</v>
      </c>
      <c r="I1161" s="637"/>
    </row>
    <row r="1162" spans="1:9" ht="15.75">
      <c r="A1162" s="410"/>
      <c r="B1162" s="507">
        <v>1.2</v>
      </c>
      <c r="C1162" s="411" t="s">
        <v>191</v>
      </c>
      <c r="D1162" s="488"/>
      <c r="E1162" s="492"/>
      <c r="F1162" s="818"/>
      <c r="G1162" s="434"/>
      <c r="H1162" s="434"/>
      <c r="I1162" s="637"/>
    </row>
    <row r="1163" spans="1:9" ht="15.75">
      <c r="A1163" s="410"/>
      <c r="B1163" s="411"/>
      <c r="C1163" s="411" t="s">
        <v>199</v>
      </c>
      <c r="D1163" s="488"/>
      <c r="E1163" s="413"/>
      <c r="F1163" s="637"/>
      <c r="G1163" s="434"/>
      <c r="H1163" s="434"/>
      <c r="I1163" s="637"/>
    </row>
    <row r="1164" spans="1:9" ht="15.75">
      <c r="A1164" s="410"/>
      <c r="B1164" s="411"/>
      <c r="C1164" s="411"/>
      <c r="D1164" s="488"/>
      <c r="E1164" s="413"/>
      <c r="F1164" s="637"/>
      <c r="G1164" s="434"/>
      <c r="H1164" s="434"/>
      <c r="I1164" s="637"/>
    </row>
    <row r="1165" spans="1:9" ht="15.75">
      <c r="A1165" s="410"/>
      <c r="B1165" s="411"/>
      <c r="C1165" s="411" t="s">
        <v>69</v>
      </c>
      <c r="D1165" s="488"/>
      <c r="E1165" s="438">
        <v>76361</v>
      </c>
      <c r="F1165" s="802">
        <v>15328</v>
      </c>
      <c r="G1165" s="434">
        <f aca="true" t="shared" si="31" ref="G1165:G1173">H1165-F1165</f>
        <v>184672</v>
      </c>
      <c r="H1165" s="637">
        <v>200000</v>
      </c>
      <c r="I1165" s="637">
        <v>50000</v>
      </c>
    </row>
    <row r="1166" spans="1:9" ht="15.75">
      <c r="A1166" s="410"/>
      <c r="B1166" s="411"/>
      <c r="C1166" s="411" t="s">
        <v>176</v>
      </c>
      <c r="D1166" s="488"/>
      <c r="E1166" s="438">
        <v>72945</v>
      </c>
      <c r="F1166" s="802">
        <v>0</v>
      </c>
      <c r="G1166" s="434">
        <f t="shared" si="31"/>
        <v>60000</v>
      </c>
      <c r="H1166" s="637">
        <v>60000</v>
      </c>
      <c r="I1166" s="637">
        <v>30000</v>
      </c>
    </row>
    <row r="1167" spans="1:9" ht="15.75">
      <c r="A1167" s="410"/>
      <c r="B1167" s="411"/>
      <c r="C1167" s="411" t="str">
        <f>C39</f>
        <v>Office Supplies Expenses</v>
      </c>
      <c r="D1167" s="490"/>
      <c r="E1167" s="434">
        <v>76233.77</v>
      </c>
      <c r="F1167" s="637">
        <v>0</v>
      </c>
      <c r="G1167" s="434">
        <f>H1167-F1167</f>
        <v>60000</v>
      </c>
      <c r="H1167" s="637">
        <v>60000</v>
      </c>
      <c r="I1167" s="637">
        <v>60000</v>
      </c>
    </row>
    <row r="1168" spans="1:9" ht="15.75">
      <c r="A1168" s="410"/>
      <c r="B1168" s="411"/>
      <c r="C1168" s="411" t="s">
        <v>486</v>
      </c>
      <c r="D1168" s="490"/>
      <c r="E1168" s="434"/>
      <c r="F1168" s="637">
        <v>0</v>
      </c>
      <c r="G1168" s="434">
        <f>H1168-F1168</f>
        <v>100000</v>
      </c>
      <c r="H1168" s="637">
        <v>100000</v>
      </c>
      <c r="I1168" s="637">
        <v>100000</v>
      </c>
    </row>
    <row r="1169" spans="1:9" ht="15.75">
      <c r="A1169" s="410"/>
      <c r="B1169" s="411"/>
      <c r="C1169" s="411" t="s">
        <v>97</v>
      </c>
      <c r="D1169" s="490"/>
      <c r="E1169" s="434">
        <v>24000</v>
      </c>
      <c r="F1169" s="637">
        <v>12000</v>
      </c>
      <c r="G1169" s="434">
        <f t="shared" si="31"/>
        <v>12000</v>
      </c>
      <c r="H1169" s="637">
        <v>24000</v>
      </c>
      <c r="I1169" s="637">
        <v>24000</v>
      </c>
    </row>
    <row r="1170" spans="1:9" ht="15.75">
      <c r="A1170" s="410"/>
      <c r="B1170" s="411"/>
      <c r="C1170" s="411" t="s">
        <v>265</v>
      </c>
      <c r="D1170" s="490"/>
      <c r="E1170" s="434">
        <v>30000</v>
      </c>
      <c r="F1170" s="637">
        <v>13800</v>
      </c>
      <c r="G1170" s="434">
        <f t="shared" si="31"/>
        <v>36200</v>
      </c>
      <c r="H1170" s="637">
        <v>50000</v>
      </c>
      <c r="I1170" s="637">
        <v>50000</v>
      </c>
    </row>
    <row r="1171" spans="1:9" ht="15.75">
      <c r="A1171" s="410"/>
      <c r="B1171" s="411"/>
      <c r="C1171" s="411" t="s">
        <v>337</v>
      </c>
      <c r="D1171" s="490"/>
      <c r="E1171" s="434">
        <v>25760</v>
      </c>
      <c r="F1171" s="637">
        <v>0</v>
      </c>
      <c r="G1171" s="434">
        <f>H1171-F1171</f>
        <v>50000</v>
      </c>
      <c r="H1171" s="637">
        <v>50000</v>
      </c>
      <c r="I1171" s="637">
        <v>50000</v>
      </c>
    </row>
    <row r="1172" spans="1:9" ht="15.75">
      <c r="A1172" s="410"/>
      <c r="B1172" s="411"/>
      <c r="C1172" s="411" t="s">
        <v>491</v>
      </c>
      <c r="D1172" s="490"/>
      <c r="E1172" s="434"/>
      <c r="F1172" s="637">
        <v>0</v>
      </c>
      <c r="G1172" s="434">
        <f>H1172-F1172</f>
        <v>48000</v>
      </c>
      <c r="H1172" s="637">
        <v>48000</v>
      </c>
      <c r="I1172" s="637">
        <v>24000</v>
      </c>
    </row>
    <row r="1173" spans="1:9" ht="15.75">
      <c r="A1173" s="410"/>
      <c r="B1173" s="411"/>
      <c r="C1173" s="411" t="s">
        <v>87</v>
      </c>
      <c r="D1173" s="490"/>
      <c r="E1173" s="434">
        <v>43100</v>
      </c>
      <c r="F1173" s="637">
        <v>0</v>
      </c>
      <c r="G1173" s="434">
        <f t="shared" si="31"/>
        <v>50000</v>
      </c>
      <c r="H1173" s="637">
        <v>50000</v>
      </c>
      <c r="I1173" s="637">
        <v>50000</v>
      </c>
    </row>
    <row r="1174" spans="1:9" ht="15.75">
      <c r="A1174" s="410"/>
      <c r="B1174" s="411"/>
      <c r="C1174" s="411"/>
      <c r="D1174" s="490"/>
      <c r="E1174" s="434"/>
      <c r="F1174" s="637"/>
      <c r="G1174" s="434"/>
      <c r="H1174" s="637"/>
      <c r="I1174" s="637"/>
    </row>
    <row r="1175" spans="1:9" ht="15.75">
      <c r="A1175" s="410"/>
      <c r="B1175" s="411"/>
      <c r="C1175" s="411" t="s">
        <v>192</v>
      </c>
      <c r="D1175" s="488"/>
      <c r="E1175" s="1121">
        <f>SUM(E1165:E1173)</f>
        <v>348399.77</v>
      </c>
      <c r="F1175" s="820"/>
      <c r="G1175" s="1123">
        <f>SUM(G1165:G1173)</f>
        <v>600872</v>
      </c>
      <c r="H1175" s="766"/>
      <c r="I1175" s="1125">
        <f>SUM(I1165:I1173)</f>
        <v>438000</v>
      </c>
    </row>
    <row r="1176" spans="1:9" ht="15.75">
      <c r="A1176" s="410"/>
      <c r="B1176" s="411"/>
      <c r="C1176" s="411" t="s">
        <v>193</v>
      </c>
      <c r="D1176" s="488"/>
      <c r="E1176" s="1122"/>
      <c r="F1176" s="774">
        <f>SUM(F1165:F1175)</f>
        <v>41128</v>
      </c>
      <c r="G1176" s="1124"/>
      <c r="H1176" s="767">
        <f>SUM(H1165:H1174)</f>
        <v>642000</v>
      </c>
      <c r="I1176" s="1126"/>
    </row>
    <row r="1177" spans="1:9" ht="15.75">
      <c r="A1177" s="410"/>
      <c r="B1177" s="411"/>
      <c r="C1177" s="411"/>
      <c r="D1177" s="488"/>
      <c r="E1177" s="434"/>
      <c r="F1177" s="639"/>
      <c r="G1177" s="440"/>
      <c r="H1177" s="440"/>
      <c r="I1177" s="639"/>
    </row>
    <row r="1178" spans="1:9" ht="15.75">
      <c r="A1178" s="441">
        <v>2</v>
      </c>
      <c r="B1178" s="411" t="s">
        <v>89</v>
      </c>
      <c r="C1178" s="411"/>
      <c r="D1178" s="488"/>
      <c r="E1178" s="434"/>
      <c r="F1178" s="639"/>
      <c r="G1178" s="440"/>
      <c r="H1178" s="440"/>
      <c r="I1178" s="821"/>
    </row>
    <row r="1179" spans="1:9" ht="15.75">
      <c r="A1179" s="441"/>
      <c r="B1179" s="411"/>
      <c r="C1179" s="411" t="s">
        <v>194</v>
      </c>
      <c r="D1179" s="488"/>
      <c r="E1179" s="434">
        <v>45899</v>
      </c>
      <c r="F1179" s="639"/>
      <c r="G1179" s="440">
        <f>H1179-F1179</f>
        <v>0</v>
      </c>
      <c r="H1179" s="440"/>
      <c r="I1179" s="639"/>
    </row>
    <row r="1180" spans="1:9" ht="15.75">
      <c r="A1180" s="441"/>
      <c r="B1180" s="411"/>
      <c r="C1180" s="411" t="s">
        <v>92</v>
      </c>
      <c r="D1180" s="488"/>
      <c r="E1180" s="434">
        <v>145795</v>
      </c>
      <c r="F1180" s="639">
        <v>17500</v>
      </c>
      <c r="G1180" s="440">
        <f>H1180-F1180</f>
        <v>132500</v>
      </c>
      <c r="H1180" s="639">
        <v>150000</v>
      </c>
      <c r="I1180" s="639"/>
    </row>
    <row r="1181" spans="1:9" ht="15.75">
      <c r="A1181" s="441"/>
      <c r="B1181" s="411"/>
      <c r="C1181" s="411" t="s">
        <v>91</v>
      </c>
      <c r="D1181" s="488"/>
      <c r="E1181" s="434"/>
      <c r="F1181" s="639">
        <v>49600</v>
      </c>
      <c r="G1181" s="440">
        <f>H1181-F1181</f>
        <v>400</v>
      </c>
      <c r="H1181" s="639">
        <v>50000</v>
      </c>
      <c r="I1181" s="639"/>
    </row>
    <row r="1182" spans="1:9" ht="15.75">
      <c r="A1182" s="410"/>
      <c r="B1182" s="411"/>
      <c r="C1182" s="411" t="s">
        <v>94</v>
      </c>
      <c r="D1182" s="500"/>
      <c r="E1182" s="436">
        <f>SUM(E1179:E1180)</f>
        <v>191694</v>
      </c>
      <c r="F1182" s="773">
        <f>SUM(F1179:F1181)</f>
        <v>67100</v>
      </c>
      <c r="G1182" s="766">
        <f>SUM(G1179:G1181)</f>
        <v>132900</v>
      </c>
      <c r="H1182" s="766">
        <f>SUM(H1179:H1181)</f>
        <v>200000</v>
      </c>
      <c r="I1182" s="820">
        <f>I1180+I1181</f>
        <v>0</v>
      </c>
    </row>
    <row r="1183" spans="1:9" ht="15.75">
      <c r="A1183" s="443" t="s">
        <v>617</v>
      </c>
      <c r="B1183" s="444"/>
      <c r="C1183" s="444"/>
      <c r="D1183" s="728"/>
      <c r="E1183" s="436">
        <f>+E1182+E1175+E1160</f>
        <v>3541494.84</v>
      </c>
      <c r="F1183" s="773">
        <f>F1182+F1176+F1160</f>
        <v>1671609.23</v>
      </c>
      <c r="G1183" s="447">
        <f>G1182+G1175+G1160</f>
        <v>2754320.45</v>
      </c>
      <c r="H1183" s="447">
        <f>H1160+H1176+H1182</f>
        <v>4425929.68</v>
      </c>
      <c r="I1183" s="636">
        <f>I1160+I1175+I1182</f>
        <v>4240258.049999999</v>
      </c>
    </row>
    <row r="1184" spans="1:9" ht="12" customHeight="1">
      <c r="A1184" s="795"/>
      <c r="B1184" s="796"/>
      <c r="C1184" s="541"/>
      <c r="D1184" s="595"/>
      <c r="E1184" s="792"/>
      <c r="F1184" s="917"/>
      <c r="G1184" s="919"/>
      <c r="H1184" s="919"/>
      <c r="I1184" s="820"/>
    </row>
    <row r="1185" spans="1:9" ht="18">
      <c r="A1185" s="460" t="s">
        <v>562</v>
      </c>
      <c r="B1185" s="563"/>
      <c r="C1185" s="581"/>
      <c r="D1185" s="608"/>
      <c r="E1185" s="793"/>
      <c r="F1185" s="920"/>
      <c r="G1185" s="921"/>
      <c r="H1185" s="750"/>
      <c r="I1185" s="821"/>
    </row>
    <row r="1186" spans="1:9" ht="9" customHeight="1">
      <c r="A1186" s="460"/>
      <c r="B1186" s="563"/>
      <c r="C1186" s="581"/>
      <c r="D1186" s="608"/>
      <c r="E1186" s="793"/>
      <c r="F1186" s="920"/>
      <c r="G1186" s="921"/>
      <c r="H1186" s="750"/>
      <c r="I1186" s="821"/>
    </row>
    <row r="1187" spans="1:9" ht="15.75">
      <c r="A1187" s="536" t="s">
        <v>111</v>
      </c>
      <c r="B1187" s="536"/>
      <c r="C1187" s="536"/>
      <c r="D1187" s="488"/>
      <c r="E1187" s="434">
        <v>441500</v>
      </c>
      <c r="F1187" s="639">
        <v>443500</v>
      </c>
      <c r="G1187" s="434">
        <f>H1187-F1187</f>
        <v>356500</v>
      </c>
      <c r="H1187" s="637">
        <v>800000</v>
      </c>
      <c r="I1187" s="637">
        <v>1000000</v>
      </c>
    </row>
    <row r="1188" spans="1:9" ht="15.75">
      <c r="A1188" s="597" t="s">
        <v>390</v>
      </c>
      <c r="B1188" s="536"/>
      <c r="C1188" s="536"/>
      <c r="D1188" s="488"/>
      <c r="E1188" s="434">
        <v>288000</v>
      </c>
      <c r="F1188" s="639">
        <v>174750</v>
      </c>
      <c r="G1188" s="434">
        <f>H1188-F1188</f>
        <v>225250</v>
      </c>
      <c r="H1188" s="637">
        <v>400000</v>
      </c>
      <c r="I1188" s="637">
        <v>400000</v>
      </c>
    </row>
    <row r="1189" spans="1:9" ht="15.75">
      <c r="A1189" s="597" t="s">
        <v>391</v>
      </c>
      <c r="B1189" s="536"/>
      <c r="C1189" s="536"/>
      <c r="D1189" s="488"/>
      <c r="E1189" s="434">
        <v>100000</v>
      </c>
      <c r="F1189" s="639">
        <v>18000</v>
      </c>
      <c r="G1189" s="434">
        <f>H1189-F1189</f>
        <v>282000</v>
      </c>
      <c r="H1189" s="637">
        <v>300000</v>
      </c>
      <c r="I1189" s="637">
        <v>300000</v>
      </c>
    </row>
    <row r="1190" spans="1:11" s="8" customFormat="1" ht="15.75">
      <c r="A1190" s="536" t="s">
        <v>394</v>
      </c>
      <c r="B1190" s="536"/>
      <c r="C1190" s="536"/>
      <c r="D1190" s="485"/>
      <c r="E1190" s="434">
        <v>793000</v>
      </c>
      <c r="F1190" s="637">
        <v>655835</v>
      </c>
      <c r="G1190" s="434">
        <f>H1190-F1190</f>
        <v>544165</v>
      </c>
      <c r="H1190" s="637">
        <v>1200000</v>
      </c>
      <c r="I1190" s="637">
        <v>1200000</v>
      </c>
      <c r="J1190" s="781"/>
      <c r="K1190" s="781"/>
    </row>
    <row r="1191" spans="1:9" ht="18">
      <c r="A1191" s="754" t="s">
        <v>613</v>
      </c>
      <c r="B1191" s="750"/>
      <c r="C1191" s="752"/>
      <c r="D1191" s="751"/>
      <c r="E1191" s="773">
        <f>E1187+E1188+E1189+E1190</f>
        <v>1622500</v>
      </c>
      <c r="F1191" s="773">
        <f>F1187+F1188+F1189+F1190</f>
        <v>1292085</v>
      </c>
      <c r="G1191" s="773">
        <f>G1187+G1188+G1189+G1190</f>
        <v>1407915</v>
      </c>
      <c r="H1191" s="773">
        <f>H1187+H1188+H1189+H1190</f>
        <v>2700000</v>
      </c>
      <c r="I1191" s="773">
        <f>I1187+I1188+I1189+I1190</f>
        <v>2900000</v>
      </c>
    </row>
    <row r="1192" spans="1:9" ht="15.75">
      <c r="A1192" s="749" t="s">
        <v>232</v>
      </c>
      <c r="B1192" s="749"/>
      <c r="C1192" s="753"/>
      <c r="D1192" s="751"/>
      <c r="E1192" s="774">
        <f>E1191+E1183</f>
        <v>5163994.84</v>
      </c>
      <c r="F1192" s="774">
        <f>F1191+F1183</f>
        <v>2963694.23</v>
      </c>
      <c r="G1192" s="774">
        <f>G1191+G1183</f>
        <v>4162235.45</v>
      </c>
      <c r="H1192" s="774">
        <f>H1191+H1183</f>
        <v>7125929.68</v>
      </c>
      <c r="I1192" s="774">
        <f>I1191+I1183</f>
        <v>7140258.049999999</v>
      </c>
    </row>
    <row r="1193" spans="1:9" ht="18">
      <c r="A1193" s="460"/>
      <c r="B1193" s="563"/>
      <c r="C1193" s="581"/>
      <c r="D1193" s="735"/>
      <c r="E1193" s="511"/>
      <c r="F1193" s="248"/>
      <c r="G1193" s="570"/>
      <c r="H1193" s="563"/>
      <c r="I1193" s="641"/>
    </row>
    <row r="1194" spans="1:9" ht="18">
      <c r="A1194" s="460"/>
      <c r="B1194" s="563"/>
      <c r="C1194" s="581"/>
      <c r="D1194" s="735"/>
      <c r="E1194" s="511"/>
      <c r="F1194" s="248"/>
      <c r="G1194" s="570"/>
      <c r="H1194" s="563"/>
      <c r="I1194" s="641"/>
    </row>
    <row r="1195" spans="1:9" ht="18">
      <c r="A1195" s="460"/>
      <c r="B1195" s="563"/>
      <c r="C1195" s="581"/>
      <c r="D1195" s="735"/>
      <c r="E1195" s="511"/>
      <c r="F1195" s="248"/>
      <c r="G1195" s="570"/>
      <c r="H1195" s="563"/>
      <c r="I1195" s="641"/>
    </row>
    <row r="1196" spans="1:9" ht="18">
      <c r="A1196" s="460"/>
      <c r="B1196" s="563"/>
      <c r="C1196" s="581"/>
      <c r="D1196" s="735"/>
      <c r="E1196" s="511"/>
      <c r="F1196" s="248"/>
      <c r="G1196" s="570"/>
      <c r="H1196" s="563"/>
      <c r="I1196" s="641"/>
    </row>
    <row r="1197" spans="1:9" ht="18">
      <c r="A1197" s="460"/>
      <c r="B1197" s="563"/>
      <c r="C1197" s="581"/>
      <c r="D1197" s="735"/>
      <c r="E1197" s="511"/>
      <c r="F1197" s="248"/>
      <c r="G1197" s="570"/>
      <c r="H1197" s="563"/>
      <c r="I1197" s="641"/>
    </row>
    <row r="1198" spans="1:9" ht="18">
      <c r="A1198" s="460"/>
      <c r="B1198" s="563"/>
      <c r="C1198" s="581"/>
      <c r="D1198" s="735"/>
      <c r="E1198" s="511"/>
      <c r="F1198" s="248"/>
      <c r="G1198" s="570"/>
      <c r="H1198" s="563"/>
      <c r="I1198" s="641"/>
    </row>
    <row r="1199" spans="1:9" ht="18">
      <c r="A1199" s="460" t="s">
        <v>196</v>
      </c>
      <c r="B1199" s="503"/>
      <c r="C1199" s="581"/>
      <c r="D1199" s="463"/>
      <c r="E1199" s="469" t="s">
        <v>197</v>
      </c>
      <c r="F1199" s="16"/>
      <c r="G1199" s="1091" t="s">
        <v>198</v>
      </c>
      <c r="H1199" s="1091"/>
      <c r="I1199" s="862"/>
    </row>
    <row r="1200" spans="1:9" ht="18">
      <c r="A1200" s="460"/>
      <c r="B1200" s="465"/>
      <c r="C1200" s="465"/>
      <c r="D1200" s="463"/>
      <c r="E1200" s="467"/>
      <c r="F1200" s="16"/>
      <c r="G1200" s="465"/>
      <c r="H1200" s="465"/>
      <c r="I1200" s="862"/>
    </row>
    <row r="1201" spans="1:9" ht="18">
      <c r="A1201" s="460"/>
      <c r="B1201" s="465"/>
      <c r="C1201" s="465"/>
      <c r="D1201" s="463"/>
      <c r="E1201" s="511"/>
      <c r="F1201" s="16"/>
      <c r="G1201" s="465"/>
      <c r="H1201" s="465"/>
      <c r="I1201" s="249"/>
    </row>
    <row r="1202" spans="1:9" ht="18">
      <c r="A1202" s="460"/>
      <c r="B1202" s="465"/>
      <c r="C1202" s="465"/>
      <c r="D1202" s="463"/>
      <c r="E1202" s="467"/>
      <c r="F1202" s="16"/>
      <c r="G1202" s="465"/>
      <c r="H1202" s="465"/>
      <c r="I1202" s="249"/>
    </row>
    <row r="1203" spans="1:9" ht="18">
      <c r="A1203" s="460" t="s">
        <v>309</v>
      </c>
      <c r="B1203" s="465"/>
      <c r="C1203" s="465"/>
      <c r="D1203" s="463"/>
      <c r="E1203" s="464" t="str">
        <f>E116</f>
        <v>JANE B. LARIOSA</v>
      </c>
      <c r="F1203" s="16"/>
      <c r="G1203" s="1091" t="str">
        <f>G116</f>
        <v>WILLIAM E. CALVEZ, CE</v>
      </c>
      <c r="H1203" s="1091"/>
      <c r="I1203" s="1092"/>
    </row>
    <row r="1204" spans="1:9" ht="18">
      <c r="A1204" s="470" t="s">
        <v>310</v>
      </c>
      <c r="B1204" s="433"/>
      <c r="C1204" s="433"/>
      <c r="D1204" s="504"/>
      <c r="E1204" s="505" t="str">
        <f>E117</f>
        <v>AO II/OIC MBO</v>
      </c>
      <c r="F1204" s="16"/>
      <c r="G1204" s="1104" t="s">
        <v>155</v>
      </c>
      <c r="H1204" s="1104"/>
      <c r="I1204" s="1105"/>
    </row>
    <row r="1205" spans="1:9" ht="18">
      <c r="A1205" s="472"/>
      <c r="B1205" s="473"/>
      <c r="C1205" s="473"/>
      <c r="D1205" s="474"/>
      <c r="E1205" s="475"/>
      <c r="F1205" s="840"/>
      <c r="G1205" s="582"/>
      <c r="H1205" s="582"/>
      <c r="I1205" s="880"/>
    </row>
    <row r="1206" spans="1:9" ht="15.75">
      <c r="A1206" s="576"/>
      <c r="B1206" s="576"/>
      <c r="C1206" s="576"/>
      <c r="D1206" s="577"/>
      <c r="E1206" s="492"/>
      <c r="F1206" s="837"/>
      <c r="G1206" s="576"/>
      <c r="H1206" s="576"/>
      <c r="I1206" s="837"/>
    </row>
    <row r="1207" spans="1:9" ht="15.75">
      <c r="A1207" s="576"/>
      <c r="B1207" s="576"/>
      <c r="C1207" s="576"/>
      <c r="D1207" s="577"/>
      <c r="E1207" s="492"/>
      <c r="F1207" s="837"/>
      <c r="G1207" s="576"/>
      <c r="H1207" s="576"/>
      <c r="I1207" s="837"/>
    </row>
    <row r="1208" spans="1:9" ht="15.75">
      <c r="A1208" s="576"/>
      <c r="B1208" s="576"/>
      <c r="C1208" s="576"/>
      <c r="D1208" s="577"/>
      <c r="E1208" s="492"/>
      <c r="F1208" s="837"/>
      <c r="G1208" s="576"/>
      <c r="H1208" s="576"/>
      <c r="I1208" s="837"/>
    </row>
    <row r="1209" spans="1:9" ht="15.75">
      <c r="A1209" s="576"/>
      <c r="B1209" s="576"/>
      <c r="C1209" s="576"/>
      <c r="D1209" s="577"/>
      <c r="E1209" s="492"/>
      <c r="F1209" s="837"/>
      <c r="G1209" s="576"/>
      <c r="H1209" s="576"/>
      <c r="I1209" s="837"/>
    </row>
    <row r="1210" spans="1:9" ht="15.75">
      <c r="A1210" s="576"/>
      <c r="B1210" s="576"/>
      <c r="C1210" s="576"/>
      <c r="D1210" s="577"/>
      <c r="E1210" s="492"/>
      <c r="F1210" s="837"/>
      <c r="G1210" s="576"/>
      <c r="H1210" s="576"/>
      <c r="I1210" s="837"/>
    </row>
    <row r="1211" spans="1:9" ht="15.75">
      <c r="A1211" s="576"/>
      <c r="B1211" s="576"/>
      <c r="C1211" s="576"/>
      <c r="D1211" s="577"/>
      <c r="E1211" s="492"/>
      <c r="F1211" s="837"/>
      <c r="G1211" s="576"/>
      <c r="H1211" s="576"/>
      <c r="I1211" s="837"/>
    </row>
    <row r="1212" spans="1:9" ht="15.75">
      <c r="A1212" s="576"/>
      <c r="B1212" s="576"/>
      <c r="C1212" s="576"/>
      <c r="D1212" s="577"/>
      <c r="E1212" s="492"/>
      <c r="F1212" s="837"/>
      <c r="G1212" s="576"/>
      <c r="H1212" s="576"/>
      <c r="I1212" s="837"/>
    </row>
    <row r="1213" spans="1:9" ht="15.75">
      <c r="A1213" s="576"/>
      <c r="B1213" s="576"/>
      <c r="C1213" s="576"/>
      <c r="D1213" s="577"/>
      <c r="E1213" s="492"/>
      <c r="F1213" s="837"/>
      <c r="G1213" s="576"/>
      <c r="H1213" s="576"/>
      <c r="I1213" s="837"/>
    </row>
    <row r="1214" spans="1:9" ht="15.75">
      <c r="A1214" s="576"/>
      <c r="B1214" s="576"/>
      <c r="C1214" s="576"/>
      <c r="D1214" s="577"/>
      <c r="E1214" s="492"/>
      <c r="F1214" s="837"/>
      <c r="G1214" s="576"/>
      <c r="H1214" s="576"/>
      <c r="I1214" s="837"/>
    </row>
    <row r="1215" spans="1:9" ht="15.75">
      <c r="A1215" s="576"/>
      <c r="B1215" s="576"/>
      <c r="C1215" s="576"/>
      <c r="D1215" s="577"/>
      <c r="E1215" s="492"/>
      <c r="F1215" s="837"/>
      <c r="G1215" s="576"/>
      <c r="H1215" s="576"/>
      <c r="I1215" s="837"/>
    </row>
    <row r="1216" spans="1:9" ht="15.75">
      <c r="A1216" s="576"/>
      <c r="B1216" s="576"/>
      <c r="C1216" s="576"/>
      <c r="D1216" s="577"/>
      <c r="E1216" s="492"/>
      <c r="F1216" s="837"/>
      <c r="G1216" s="576"/>
      <c r="H1216" s="576"/>
      <c r="I1216" s="837"/>
    </row>
    <row r="1217" spans="1:9" ht="15.75">
      <c r="A1217" s="576"/>
      <c r="B1217" s="576"/>
      <c r="C1217" s="576"/>
      <c r="D1217" s="577"/>
      <c r="E1217" s="492"/>
      <c r="F1217" s="837"/>
      <c r="G1217" s="576"/>
      <c r="H1217" s="576"/>
      <c r="I1217" s="837"/>
    </row>
    <row r="1218" spans="1:9" ht="15.75">
      <c r="A1218" s="576"/>
      <c r="B1218" s="576"/>
      <c r="C1218" s="576"/>
      <c r="D1218" s="577"/>
      <c r="E1218" s="492"/>
      <c r="F1218" s="837"/>
      <c r="G1218" s="576"/>
      <c r="H1218" s="576"/>
      <c r="I1218" s="837"/>
    </row>
    <row r="1219" spans="1:9" ht="15.75">
      <c r="A1219" s="576"/>
      <c r="B1219" s="576"/>
      <c r="C1219" s="576"/>
      <c r="D1219" s="577"/>
      <c r="E1219" s="492"/>
      <c r="F1219" s="837"/>
      <c r="G1219" s="576"/>
      <c r="H1219" s="576"/>
      <c r="I1219" s="837"/>
    </row>
    <row r="1220" spans="1:9" ht="15.75">
      <c r="A1220" s="480" t="str">
        <f>A3</f>
        <v>LBP Form No. 2</v>
      </c>
      <c r="B1220" s="407"/>
      <c r="C1220" s="407"/>
      <c r="D1220" s="408"/>
      <c r="E1220" s="409"/>
      <c r="F1220" s="797"/>
      <c r="G1220" s="407"/>
      <c r="H1220" s="407"/>
      <c r="I1220" s="854"/>
    </row>
    <row r="1221" spans="1:9" ht="15.75">
      <c r="A1221" s="410"/>
      <c r="B1221" s="411"/>
      <c r="C1221" s="411"/>
      <c r="D1221" s="412"/>
      <c r="E1221" s="413"/>
      <c r="F1221" s="11"/>
      <c r="G1221" s="411"/>
      <c r="H1221" s="411"/>
      <c r="I1221" s="855"/>
    </row>
    <row r="1222" spans="1:9" ht="15.75">
      <c r="A1222" s="1106" t="str">
        <f>A5</f>
        <v>PROGRAMMED APPROPRIATION AND OBLIGATION BY OBJECT OF EXPENDITURE</v>
      </c>
      <c r="B1222" s="1107"/>
      <c r="C1222" s="1107"/>
      <c r="D1222" s="1107"/>
      <c r="E1222" s="1107"/>
      <c r="F1222" s="1107"/>
      <c r="G1222" s="1107"/>
      <c r="H1222" s="1107"/>
      <c r="I1222" s="1108"/>
    </row>
    <row r="1223" spans="1:9" ht="15.75">
      <c r="A1223" s="1109" t="str">
        <f>A6</f>
        <v>Municipality of Trento</v>
      </c>
      <c r="B1223" s="1110"/>
      <c r="C1223" s="1110"/>
      <c r="D1223" s="1110"/>
      <c r="E1223" s="1110"/>
      <c r="F1223" s="1110"/>
      <c r="G1223" s="1110"/>
      <c r="H1223" s="1110"/>
      <c r="I1223" s="1111"/>
    </row>
    <row r="1224" spans="1:9" ht="15.75">
      <c r="A1224" s="414" t="s">
        <v>479</v>
      </c>
      <c r="B1224" s="411"/>
      <c r="C1224" s="411"/>
      <c r="D1224" s="412"/>
      <c r="E1224" s="413"/>
      <c r="F1224" s="11"/>
      <c r="G1224" s="411"/>
      <c r="H1224" s="411"/>
      <c r="I1224" s="855"/>
    </row>
    <row r="1225" spans="1:9" ht="15.75">
      <c r="A1225" s="410"/>
      <c r="B1225" s="411"/>
      <c r="C1225" s="411"/>
      <c r="D1225" s="412"/>
      <c r="E1225" s="413"/>
      <c r="F1225" s="11"/>
      <c r="G1225" s="411"/>
      <c r="H1225" s="411"/>
      <c r="I1225" s="855"/>
    </row>
    <row r="1226" spans="1:11" s="6" customFormat="1" ht="15.75">
      <c r="A1226" s="1112" t="s">
        <v>181</v>
      </c>
      <c r="B1226" s="1113"/>
      <c r="C1226" s="1114"/>
      <c r="D1226" s="530"/>
      <c r="E1226" s="416" t="s">
        <v>7</v>
      </c>
      <c r="F1226" s="1115" t="str">
        <f>F9</f>
        <v>Current Year 2020 (Estimate)</v>
      </c>
      <c r="G1226" s="1116"/>
      <c r="H1226" s="1117"/>
      <c r="I1226" s="856" t="s">
        <v>10</v>
      </c>
      <c r="J1226" s="778"/>
      <c r="K1226" s="778"/>
    </row>
    <row r="1227" spans="1:11" s="6" customFormat="1" ht="15.75">
      <c r="A1227" s="1109"/>
      <c r="B1227" s="1110"/>
      <c r="C1227" s="1111"/>
      <c r="D1227" s="417" t="s">
        <v>5</v>
      </c>
      <c r="E1227" s="486" t="str">
        <f>E10</f>
        <v>2019</v>
      </c>
      <c r="F1227" s="813" t="s">
        <v>8</v>
      </c>
      <c r="G1227" s="485" t="s">
        <v>9</v>
      </c>
      <c r="H1227" s="1118" t="s">
        <v>1</v>
      </c>
      <c r="I1227" s="813">
        <f>I10</f>
        <v>2021</v>
      </c>
      <c r="J1227" s="778"/>
      <c r="K1227" s="778"/>
    </row>
    <row r="1228" spans="1:11" s="6" customFormat="1" ht="15.75">
      <c r="A1228" s="1109"/>
      <c r="B1228" s="1110"/>
      <c r="C1228" s="1111"/>
      <c r="D1228" s="417" t="s">
        <v>12</v>
      </c>
      <c r="E1228" s="486" t="s">
        <v>14</v>
      </c>
      <c r="F1228" s="813" t="s">
        <v>14</v>
      </c>
      <c r="G1228" s="485" t="s">
        <v>15</v>
      </c>
      <c r="H1228" s="1119"/>
      <c r="I1228" s="813" t="s">
        <v>182</v>
      </c>
      <c r="J1228" s="778"/>
      <c r="K1228" s="778"/>
    </row>
    <row r="1229" spans="1:11" s="6" customFormat="1" ht="12.75">
      <c r="A1229" s="1095" t="s">
        <v>183</v>
      </c>
      <c r="B1229" s="1096"/>
      <c r="C1229" s="1097"/>
      <c r="D1229" s="422" t="s">
        <v>184</v>
      </c>
      <c r="E1229" s="423" t="s">
        <v>185</v>
      </c>
      <c r="F1229" s="832" t="s">
        <v>186</v>
      </c>
      <c r="G1229" s="556" t="s">
        <v>187</v>
      </c>
      <c r="H1229" s="556" t="s">
        <v>188</v>
      </c>
      <c r="I1229" s="832" t="s">
        <v>189</v>
      </c>
      <c r="J1229" s="778"/>
      <c r="K1229" s="778"/>
    </row>
    <row r="1230" spans="1:9" ht="15.75">
      <c r="A1230" s="406"/>
      <c r="B1230" s="407"/>
      <c r="C1230" s="407"/>
      <c r="D1230" s="506"/>
      <c r="E1230" s="437"/>
      <c r="F1230" s="1001"/>
      <c r="G1230" s="406"/>
      <c r="H1230" s="406"/>
      <c r="I1230" s="1002"/>
    </row>
    <row r="1231" spans="1:9" ht="15.75">
      <c r="A1231" s="441">
        <v>1</v>
      </c>
      <c r="B1231" s="430" t="s">
        <v>190</v>
      </c>
      <c r="C1231" s="411"/>
      <c r="D1231" s="488"/>
      <c r="E1231" s="434"/>
      <c r="F1231" s="815"/>
      <c r="G1231" s="410"/>
      <c r="H1231" s="410"/>
      <c r="I1231" s="639"/>
    </row>
    <row r="1232" spans="1:9" ht="15.75">
      <c r="A1232" s="410"/>
      <c r="B1232" s="507">
        <v>1.1</v>
      </c>
      <c r="C1232" s="411" t="s">
        <v>159</v>
      </c>
      <c r="D1232" s="488"/>
      <c r="E1232" s="434"/>
      <c r="F1232" s="815"/>
      <c r="G1232" s="410"/>
      <c r="H1232" s="410"/>
      <c r="I1232" s="639"/>
    </row>
    <row r="1233" spans="1:9" ht="15.75">
      <c r="A1233" s="410"/>
      <c r="B1233" s="411"/>
      <c r="C1233" s="411" t="s">
        <v>52</v>
      </c>
      <c r="D1233" s="488"/>
      <c r="E1233" s="434">
        <v>1112119.88</v>
      </c>
      <c r="F1233" s="637">
        <v>634284</v>
      </c>
      <c r="G1233" s="434">
        <f aca="true" t="shared" si="32" ref="G1233:G1248">H1233-F1233</f>
        <v>651216</v>
      </c>
      <c r="H1233" s="639">
        <v>1285500</v>
      </c>
      <c r="I1233" s="639">
        <v>1667112</v>
      </c>
    </row>
    <row r="1234" spans="1:9" ht="15.75">
      <c r="A1234" s="410"/>
      <c r="B1234" s="411"/>
      <c r="C1234" s="411" t="s">
        <v>53</v>
      </c>
      <c r="D1234" s="488"/>
      <c r="E1234" s="434">
        <v>51066.56</v>
      </c>
      <c r="F1234" s="637">
        <v>36000</v>
      </c>
      <c r="G1234" s="434">
        <f t="shared" si="32"/>
        <v>36000</v>
      </c>
      <c r="H1234" s="639">
        <f>2000*3*12</f>
        <v>72000</v>
      </c>
      <c r="I1234" s="639">
        <f>2000*5*12</f>
        <v>120000</v>
      </c>
    </row>
    <row r="1235" spans="1:9" ht="15.75">
      <c r="A1235" s="410"/>
      <c r="B1235" s="411"/>
      <c r="C1235" s="411" t="s">
        <v>54</v>
      </c>
      <c r="D1235" s="488"/>
      <c r="E1235" s="434">
        <v>81000</v>
      </c>
      <c r="F1235" s="637">
        <v>40500</v>
      </c>
      <c r="G1235" s="434">
        <f t="shared" si="32"/>
        <v>40500</v>
      </c>
      <c r="H1235" s="639">
        <v>81000</v>
      </c>
      <c r="I1235" s="639">
        <v>81000</v>
      </c>
    </row>
    <row r="1236" spans="1:9" ht="15.75">
      <c r="A1236" s="410"/>
      <c r="B1236" s="411"/>
      <c r="C1236" s="411" t="s">
        <v>55</v>
      </c>
      <c r="D1236" s="488"/>
      <c r="E1236" s="434">
        <v>81000</v>
      </c>
      <c r="F1236" s="637">
        <v>40500</v>
      </c>
      <c r="G1236" s="434">
        <f t="shared" si="32"/>
        <v>40500</v>
      </c>
      <c r="H1236" s="639">
        <v>81000</v>
      </c>
      <c r="I1236" s="639">
        <v>81000</v>
      </c>
    </row>
    <row r="1237" spans="1:9" ht="15.75">
      <c r="A1237" s="410"/>
      <c r="B1237" s="411"/>
      <c r="C1237" s="411" t="s">
        <v>484</v>
      </c>
      <c r="D1237" s="488"/>
      <c r="E1237" s="434">
        <v>12000</v>
      </c>
      <c r="F1237" s="637">
        <v>18000</v>
      </c>
      <c r="G1237" s="434">
        <f t="shared" si="32"/>
        <v>0</v>
      </c>
      <c r="H1237" s="639">
        <f>6000*3</f>
        <v>18000</v>
      </c>
      <c r="I1237" s="639">
        <f>6000*5</f>
        <v>30000</v>
      </c>
    </row>
    <row r="1238" spans="1:9" ht="15.75">
      <c r="A1238" s="410"/>
      <c r="B1238" s="411"/>
      <c r="C1238" s="411" t="s">
        <v>0</v>
      </c>
      <c r="D1238" s="488"/>
      <c r="E1238" s="434">
        <v>91157</v>
      </c>
      <c r="F1238" s="637">
        <v>0</v>
      </c>
      <c r="G1238" s="434">
        <f t="shared" si="32"/>
        <v>107125</v>
      </c>
      <c r="H1238" s="639">
        <f>H1241</f>
        <v>107125</v>
      </c>
      <c r="I1238" s="639">
        <f>I1241</f>
        <v>138926</v>
      </c>
    </row>
    <row r="1239" spans="1:9" ht="15.75">
      <c r="A1239" s="410"/>
      <c r="B1239" s="411"/>
      <c r="C1239" s="411" t="s">
        <v>59</v>
      </c>
      <c r="D1239" s="488"/>
      <c r="E1239" s="434">
        <v>10000</v>
      </c>
      <c r="F1239" s="637">
        <v>0</v>
      </c>
      <c r="G1239" s="434">
        <f t="shared" si="32"/>
        <v>15000</v>
      </c>
      <c r="H1239" s="639">
        <f>5000*3</f>
        <v>15000</v>
      </c>
      <c r="I1239" s="639">
        <f>5000*5</f>
        <v>25000</v>
      </c>
    </row>
    <row r="1240" spans="1:9" ht="15.75">
      <c r="A1240" s="410"/>
      <c r="B1240" s="411"/>
      <c r="C1240" s="411" t="str">
        <f>C23</f>
        <v>Performance Base Bonus</v>
      </c>
      <c r="D1240" s="488"/>
      <c r="E1240" s="434">
        <v>99242</v>
      </c>
      <c r="F1240" s="637">
        <v>59252.05</v>
      </c>
      <c r="G1240" s="434">
        <f t="shared" si="32"/>
        <v>44353.95</v>
      </c>
      <c r="H1240" s="639">
        <v>103606</v>
      </c>
      <c r="I1240" s="639">
        <f>I1233/12</f>
        <v>138926</v>
      </c>
    </row>
    <row r="1241" spans="1:9" ht="15.75">
      <c r="A1241" s="410"/>
      <c r="B1241" s="411"/>
      <c r="C1241" s="411" t="str">
        <f>C24</f>
        <v>Mid Year</v>
      </c>
      <c r="D1241" s="488"/>
      <c r="E1241" s="434">
        <v>91157</v>
      </c>
      <c r="F1241" s="637">
        <v>105714</v>
      </c>
      <c r="G1241" s="434">
        <f t="shared" si="32"/>
        <v>1411</v>
      </c>
      <c r="H1241" s="639">
        <v>107125</v>
      </c>
      <c r="I1241" s="639">
        <f>I1240</f>
        <v>138926</v>
      </c>
    </row>
    <row r="1242" spans="1:9" ht="15.75">
      <c r="A1242" s="410"/>
      <c r="B1242" s="411"/>
      <c r="C1242" s="411" t="s">
        <v>485</v>
      </c>
      <c r="D1242" s="490"/>
      <c r="E1242" s="434">
        <v>132219.35</v>
      </c>
      <c r="F1242" s="637">
        <v>76114.08</v>
      </c>
      <c r="G1242" s="434">
        <f t="shared" si="32"/>
        <v>78145.92</v>
      </c>
      <c r="H1242" s="639">
        <f>H1233*12%</f>
        <v>154260</v>
      </c>
      <c r="I1242" s="639">
        <f>I1233*12%</f>
        <v>200053.44</v>
      </c>
    </row>
    <row r="1243" spans="1:9" ht="15.75">
      <c r="A1243" s="410"/>
      <c r="B1243" s="411"/>
      <c r="C1243" s="411" t="s">
        <v>61</v>
      </c>
      <c r="D1243" s="490"/>
      <c r="E1243" s="434">
        <v>10548.32</v>
      </c>
      <c r="F1243" s="637">
        <v>2462.36</v>
      </c>
      <c r="G1243" s="434">
        <f t="shared" si="32"/>
        <v>23247.64</v>
      </c>
      <c r="H1243" s="639">
        <f>H1233*2%</f>
        <v>25710</v>
      </c>
      <c r="I1243" s="639">
        <f>100*5*12</f>
        <v>6000</v>
      </c>
    </row>
    <row r="1244" spans="1:9" ht="15.75">
      <c r="A1244" s="410"/>
      <c r="B1244" s="411"/>
      <c r="C1244" s="411" t="s">
        <v>62</v>
      </c>
      <c r="D1244" s="490"/>
      <c r="E1244" s="434">
        <v>8959.38</v>
      </c>
      <c r="F1244" s="637">
        <v>7647.72</v>
      </c>
      <c r="G1244" s="434">
        <f t="shared" si="32"/>
        <v>11634.779999999999</v>
      </c>
      <c r="H1244" s="639">
        <v>19282.5</v>
      </c>
      <c r="I1244" s="639">
        <f>I1233*1.75%</f>
        <v>29174.460000000003</v>
      </c>
    </row>
    <row r="1245" spans="1:9" ht="15.75">
      <c r="A1245" s="410"/>
      <c r="B1245" s="411"/>
      <c r="C1245" s="411" t="s">
        <v>262</v>
      </c>
      <c r="D1245" s="490"/>
      <c r="E1245" s="434">
        <v>2600</v>
      </c>
      <c r="F1245" s="637">
        <v>1800</v>
      </c>
      <c r="G1245" s="434">
        <f t="shared" si="32"/>
        <v>1800</v>
      </c>
      <c r="H1245" s="639">
        <f>300*12</f>
        <v>3600</v>
      </c>
      <c r="I1245" s="639">
        <f>500*12</f>
        <v>6000</v>
      </c>
    </row>
    <row r="1246" spans="1:9" ht="15.75">
      <c r="A1246" s="410"/>
      <c r="B1246" s="411"/>
      <c r="C1246" s="411" t="s">
        <v>66</v>
      </c>
      <c r="D1246" s="490"/>
      <c r="E1246" s="434">
        <v>50000</v>
      </c>
      <c r="F1246" s="637">
        <v>0</v>
      </c>
      <c r="G1246" s="434">
        <f t="shared" si="32"/>
        <v>208241.18</v>
      </c>
      <c r="H1246" s="639">
        <v>208241.18</v>
      </c>
      <c r="I1246" s="639">
        <f>20000*5</f>
        <v>100000</v>
      </c>
    </row>
    <row r="1247" spans="1:9" ht="15.75">
      <c r="A1247" s="410"/>
      <c r="B1247" s="411"/>
      <c r="C1247" s="411" t="str">
        <f>C31</f>
        <v>Productivity Enhancement Incentive</v>
      </c>
      <c r="D1247" s="488"/>
      <c r="E1247" s="434">
        <v>10000</v>
      </c>
      <c r="F1247" s="637">
        <v>0</v>
      </c>
      <c r="G1247" s="434">
        <f t="shared" si="32"/>
        <v>15000</v>
      </c>
      <c r="H1247" s="639">
        <f>5000*3</f>
        <v>15000</v>
      </c>
      <c r="I1247" s="639">
        <f>5000*5</f>
        <v>25000</v>
      </c>
    </row>
    <row r="1248" spans="1:9" ht="15.75">
      <c r="A1248" s="410"/>
      <c r="B1248" s="411"/>
      <c r="C1248" s="411" t="s">
        <v>294</v>
      </c>
      <c r="D1248" s="490"/>
      <c r="E1248" s="434">
        <v>12480.1</v>
      </c>
      <c r="F1248" s="637"/>
      <c r="G1248" s="434">
        <f t="shared" si="32"/>
        <v>0</v>
      </c>
      <c r="H1248" s="639"/>
      <c r="I1248" s="639">
        <v>351581.4</v>
      </c>
    </row>
    <row r="1249" spans="1:9" ht="15.75">
      <c r="A1249" s="410"/>
      <c r="B1249" s="411"/>
      <c r="C1249" s="411" t="s">
        <v>67</v>
      </c>
      <c r="D1249" s="490"/>
      <c r="E1249" s="436">
        <f>SUM(E1233:E1248)</f>
        <v>1855549.59</v>
      </c>
      <c r="F1249" s="636">
        <f>SUM(F1233:F1247)</f>
        <v>1022274.21</v>
      </c>
      <c r="G1249" s="436">
        <f>SUM(G1233:G1248)</f>
        <v>1274175.47</v>
      </c>
      <c r="H1249" s="436">
        <f>SUM(H1233:H1248)</f>
        <v>2296449.68</v>
      </c>
      <c r="I1249" s="636">
        <f>SUM(I1233:I1248)</f>
        <v>3138699.3</v>
      </c>
    </row>
    <row r="1250" spans="1:9" ht="15.75">
      <c r="A1250" s="410"/>
      <c r="B1250" s="411"/>
      <c r="C1250" s="411"/>
      <c r="D1250" s="488"/>
      <c r="E1250" s="413"/>
      <c r="F1250" s="739"/>
      <c r="G1250" s="434"/>
      <c r="H1250" s="434"/>
      <c r="I1250" s="637"/>
    </row>
    <row r="1251" spans="1:9" ht="15.75">
      <c r="A1251" s="410"/>
      <c r="B1251" s="507">
        <v>1.2</v>
      </c>
      <c r="C1251" s="411" t="s">
        <v>191</v>
      </c>
      <c r="D1251" s="488"/>
      <c r="E1251" s="413"/>
      <c r="F1251" s="637"/>
      <c r="G1251" s="434"/>
      <c r="H1251" s="434"/>
      <c r="I1251" s="637"/>
    </row>
    <row r="1252" spans="1:9" ht="15.75">
      <c r="A1252" s="410"/>
      <c r="B1252" s="411"/>
      <c r="C1252" s="411" t="s">
        <v>199</v>
      </c>
      <c r="D1252" s="488"/>
      <c r="E1252" s="413"/>
      <c r="F1252" s="637"/>
      <c r="G1252" s="434"/>
      <c r="H1252" s="434"/>
      <c r="I1252" s="637"/>
    </row>
    <row r="1253" spans="1:11" ht="15.75">
      <c r="A1253" s="410"/>
      <c r="B1253" s="411"/>
      <c r="C1253" s="550"/>
      <c r="D1253" s="488"/>
      <c r="E1253" s="413"/>
      <c r="F1253" s="637"/>
      <c r="G1253" s="434"/>
      <c r="H1253" s="434"/>
      <c r="I1253" s="638"/>
      <c r="J1253" s="1120"/>
      <c r="K1253" s="1120"/>
    </row>
    <row r="1254" spans="1:9" ht="15.75">
      <c r="A1254" s="410"/>
      <c r="B1254" s="411"/>
      <c r="C1254" s="411" t="s">
        <v>69</v>
      </c>
      <c r="D1254" s="488"/>
      <c r="E1254" s="438">
        <v>78904.2</v>
      </c>
      <c r="F1254" s="802">
        <v>18470</v>
      </c>
      <c r="G1254" s="434">
        <f aca="true" t="shared" si="33" ref="G1254:G1261">H1254-F1254</f>
        <v>81530</v>
      </c>
      <c r="H1254" s="637">
        <v>100000</v>
      </c>
      <c r="I1254" s="637">
        <v>50000</v>
      </c>
    </row>
    <row r="1255" spans="1:9" ht="15.75">
      <c r="A1255" s="410"/>
      <c r="B1255" s="411"/>
      <c r="C1255" s="411" t="s">
        <v>176</v>
      </c>
      <c r="D1255" s="488"/>
      <c r="E1255" s="438">
        <v>49342</v>
      </c>
      <c r="F1255" s="802">
        <v>16924</v>
      </c>
      <c r="G1255" s="434">
        <f t="shared" si="33"/>
        <v>83076</v>
      </c>
      <c r="H1255" s="637">
        <v>100000</v>
      </c>
      <c r="I1255" s="637">
        <v>50000</v>
      </c>
    </row>
    <row r="1256" spans="1:9" ht="15.75">
      <c r="A1256" s="410"/>
      <c r="B1256" s="411"/>
      <c r="C1256" s="411" t="s">
        <v>70</v>
      </c>
      <c r="D1256" s="490"/>
      <c r="E1256" s="434">
        <v>66252.34</v>
      </c>
      <c r="F1256" s="637">
        <v>22009.52</v>
      </c>
      <c r="G1256" s="434">
        <f>H1256-F1256</f>
        <v>77990.48</v>
      </c>
      <c r="H1256" s="637">
        <v>100000</v>
      </c>
      <c r="I1256" s="637">
        <v>100000</v>
      </c>
    </row>
    <row r="1257" spans="1:9" ht="15.75">
      <c r="A1257" s="410"/>
      <c r="B1257" s="411"/>
      <c r="C1257" s="411" t="s">
        <v>486</v>
      </c>
      <c r="D1257" s="490"/>
      <c r="E1257" s="434">
        <v>29177</v>
      </c>
      <c r="F1257" s="637">
        <v>38760</v>
      </c>
      <c r="G1257" s="434">
        <f>H1257-F1257</f>
        <v>41240</v>
      </c>
      <c r="H1257" s="637">
        <v>80000</v>
      </c>
      <c r="I1257" s="637">
        <v>80000</v>
      </c>
    </row>
    <row r="1258" spans="1:9" ht="15.75">
      <c r="A1258" s="410"/>
      <c r="B1258" s="411"/>
      <c r="C1258" s="411" t="s">
        <v>97</v>
      </c>
      <c r="D1258" s="490"/>
      <c r="E1258" s="434">
        <v>24000</v>
      </c>
      <c r="F1258" s="637">
        <v>12000</v>
      </c>
      <c r="G1258" s="434">
        <f t="shared" si="33"/>
        <v>12000</v>
      </c>
      <c r="H1258" s="637">
        <v>24000</v>
      </c>
      <c r="I1258" s="637">
        <v>24000</v>
      </c>
    </row>
    <row r="1259" spans="1:11" ht="15.75">
      <c r="A1259" s="410"/>
      <c r="B1259" s="411"/>
      <c r="C1259" s="411" t="s">
        <v>265</v>
      </c>
      <c r="D1259" s="490"/>
      <c r="E1259" s="434">
        <v>28832</v>
      </c>
      <c r="F1259" s="637">
        <v>45903</v>
      </c>
      <c r="G1259" s="434">
        <f t="shared" si="33"/>
        <v>54097</v>
      </c>
      <c r="H1259" s="637">
        <v>100000</v>
      </c>
      <c r="I1259" s="637">
        <v>100000</v>
      </c>
      <c r="K1259" s="777">
        <v>50000</v>
      </c>
    </row>
    <row r="1260" spans="1:9" ht="15.75">
      <c r="A1260" s="410"/>
      <c r="B1260" s="411"/>
      <c r="C1260" s="411" t="s">
        <v>443</v>
      </c>
      <c r="D1260" s="490"/>
      <c r="E1260" s="434"/>
      <c r="F1260" s="637">
        <v>14604</v>
      </c>
      <c r="G1260" s="434">
        <f>H1260-F1260</f>
        <v>396</v>
      </c>
      <c r="H1260" s="637">
        <v>15000</v>
      </c>
      <c r="I1260" s="637">
        <v>15000</v>
      </c>
    </row>
    <row r="1261" spans="1:9" ht="15.75">
      <c r="A1261" s="410"/>
      <c r="B1261" s="411"/>
      <c r="C1261" s="411" t="s">
        <v>410</v>
      </c>
      <c r="D1261" s="490"/>
      <c r="E1261" s="434"/>
      <c r="F1261" s="637">
        <v>71217</v>
      </c>
      <c r="G1261" s="434">
        <f t="shared" si="33"/>
        <v>3783</v>
      </c>
      <c r="H1261" s="637">
        <v>75000</v>
      </c>
      <c r="I1261" s="637">
        <v>50000</v>
      </c>
    </row>
    <row r="1262" spans="1:9" ht="12.75">
      <c r="A1262" s="1003"/>
      <c r="B1262" s="551"/>
      <c r="C1262" s="550"/>
      <c r="D1262" s="431"/>
      <c r="E1262" s="787"/>
      <c r="F1262" s="841"/>
      <c r="G1262" s="579"/>
      <c r="H1262" s="788"/>
      <c r="I1262" s="881"/>
    </row>
    <row r="1263" spans="1:9" ht="15.75">
      <c r="A1263" s="410"/>
      <c r="B1263" s="411"/>
      <c r="C1263" s="411" t="s">
        <v>192</v>
      </c>
      <c r="D1263" s="488"/>
      <c r="E1263" s="1121">
        <f>SUM(E1254:E1261)</f>
        <v>276507.54</v>
      </c>
      <c r="F1263" s="999"/>
      <c r="G1263" s="1123">
        <f>SUM(G1254:G1261)</f>
        <v>354112.48</v>
      </c>
      <c r="H1263" s="997"/>
      <c r="I1263" s="1125">
        <f>SUM(I1253:I1261)</f>
        <v>469000</v>
      </c>
    </row>
    <row r="1264" spans="1:9" ht="15.75">
      <c r="A1264" s="410"/>
      <c r="B1264" s="411"/>
      <c r="C1264" s="411" t="s">
        <v>193</v>
      </c>
      <c r="D1264" s="488"/>
      <c r="E1264" s="1122"/>
      <c r="F1264" s="1000">
        <f>SUM(F1254:F1263)</f>
        <v>239887.52000000002</v>
      </c>
      <c r="G1264" s="1124"/>
      <c r="H1264" s="998">
        <f>SUM(H1254:H1263)</f>
        <v>594000</v>
      </c>
      <c r="I1264" s="1126"/>
    </row>
    <row r="1265" spans="1:9" ht="15.75">
      <c r="A1265" s="410"/>
      <c r="B1265" s="411"/>
      <c r="C1265" s="411"/>
      <c r="D1265" s="488"/>
      <c r="E1265" s="434"/>
      <c r="F1265" s="639"/>
      <c r="G1265" s="440"/>
      <c r="H1265" s="440"/>
      <c r="I1265" s="639"/>
    </row>
    <row r="1266" spans="1:9" ht="15.75">
      <c r="A1266" s="441">
        <v>2</v>
      </c>
      <c r="B1266" s="411" t="s">
        <v>89</v>
      </c>
      <c r="C1266" s="411"/>
      <c r="D1266" s="488"/>
      <c r="E1266" s="434"/>
      <c r="F1266" s="639"/>
      <c r="G1266" s="440"/>
      <c r="H1266" s="440"/>
      <c r="I1266" s="639"/>
    </row>
    <row r="1267" spans="1:9" ht="15.75">
      <c r="A1267" s="441"/>
      <c r="B1267" s="411"/>
      <c r="C1267" s="411" t="s">
        <v>92</v>
      </c>
      <c r="D1267" s="488"/>
      <c r="E1267" s="434">
        <v>50000</v>
      </c>
      <c r="F1267" s="639"/>
      <c r="G1267" s="440">
        <f>H1267-F1267</f>
        <v>100000</v>
      </c>
      <c r="H1267" s="639">
        <v>100000</v>
      </c>
      <c r="I1267" s="639">
        <v>0</v>
      </c>
    </row>
    <row r="1268" spans="1:9" ht="15.75">
      <c r="A1268" s="441"/>
      <c r="B1268" s="411"/>
      <c r="C1268" s="411" t="s">
        <v>194</v>
      </c>
      <c r="D1268" s="488"/>
      <c r="E1268" s="434"/>
      <c r="F1268" s="639"/>
      <c r="G1268" s="440">
        <f>H1268-F1268</f>
        <v>200000</v>
      </c>
      <c r="H1268" s="639">
        <v>200000</v>
      </c>
      <c r="I1268" s="639">
        <v>0</v>
      </c>
    </row>
    <row r="1269" spans="1:9" ht="15.75">
      <c r="A1269" s="410"/>
      <c r="B1269" s="411"/>
      <c r="C1269" s="411" t="s">
        <v>94</v>
      </c>
      <c r="D1269" s="500"/>
      <c r="E1269" s="436">
        <f>SUM(E1267:E1268)</f>
        <v>50000</v>
      </c>
      <c r="F1269" s="775">
        <f>SUM(F1268:F1268)</f>
        <v>0</v>
      </c>
      <c r="G1269" s="997">
        <f>SUM(G1267:G1268)</f>
        <v>300000</v>
      </c>
      <c r="H1269" s="997">
        <f>SUM(H1267:H1268)</f>
        <v>300000</v>
      </c>
      <c r="I1269" s="999">
        <f>SUM(I1267:I1268)</f>
        <v>0</v>
      </c>
    </row>
    <row r="1270" spans="1:9" ht="15.75">
      <c r="A1270" s="443" t="s">
        <v>233</v>
      </c>
      <c r="B1270" s="444"/>
      <c r="C1270" s="444"/>
      <c r="D1270" s="557"/>
      <c r="E1270" s="446">
        <f>+E1269+E1263+E1249</f>
        <v>2182057.13</v>
      </c>
      <c r="F1270" s="775">
        <f>F1269+F1264+F1249</f>
        <v>1262161.73</v>
      </c>
      <c r="G1270" s="442">
        <f>G1263+G1249+G1269</f>
        <v>1928287.95</v>
      </c>
      <c r="H1270" s="442">
        <f>H1249+H1264+H1269</f>
        <v>3190449.68</v>
      </c>
      <c r="I1270" s="775">
        <f>I1249+I1263+I1269</f>
        <v>3607699.3</v>
      </c>
    </row>
    <row r="1271" spans="1:9" ht="15.75">
      <c r="A1271" s="795"/>
      <c r="B1271" s="796"/>
      <c r="C1271" s="541"/>
      <c r="D1271" s="996"/>
      <c r="E1271" s="561"/>
      <c r="F1271" s="833"/>
      <c r="G1271" s="562"/>
      <c r="H1271" s="796"/>
      <c r="I1271" s="819"/>
    </row>
    <row r="1272" spans="1:9" ht="15.75">
      <c r="A1272" s="993"/>
      <c r="B1272" s="994"/>
      <c r="C1272" s="581"/>
      <c r="D1272" s="996"/>
      <c r="E1272" s="511"/>
      <c r="F1272" s="248"/>
      <c r="G1272" s="570"/>
      <c r="H1272" s="994"/>
      <c r="I1272" s="641"/>
    </row>
    <row r="1273" spans="1:9" ht="18">
      <c r="A1273" s="460" t="s">
        <v>196</v>
      </c>
      <c r="B1273" s="461"/>
      <c r="C1273" s="581"/>
      <c r="D1273" s="992"/>
      <c r="E1273" s="469" t="s">
        <v>197</v>
      </c>
      <c r="F1273" s="16"/>
      <c r="G1273" s="1091" t="s">
        <v>198</v>
      </c>
      <c r="H1273" s="1091"/>
      <c r="I1273" s="862"/>
    </row>
    <row r="1274" spans="1:9" ht="18">
      <c r="A1274" s="460"/>
      <c r="B1274" s="465"/>
      <c r="C1274" s="465"/>
      <c r="D1274" s="992"/>
      <c r="E1274" s="467"/>
      <c r="F1274" s="16"/>
      <c r="G1274" s="465"/>
      <c r="H1274" s="465"/>
      <c r="I1274" s="862"/>
    </row>
    <row r="1275" spans="1:9" ht="18">
      <c r="A1275" s="460"/>
      <c r="B1275" s="465"/>
      <c r="C1275" s="465"/>
      <c r="D1275" s="992"/>
      <c r="E1275" s="511"/>
      <c r="F1275" s="16"/>
      <c r="G1275" s="465"/>
      <c r="H1275" s="465"/>
      <c r="I1275" s="249"/>
    </row>
    <row r="1276" spans="1:9" ht="18">
      <c r="A1276" s="460"/>
      <c r="B1276" s="465"/>
      <c r="C1276" s="465"/>
      <c r="D1276" s="992"/>
      <c r="E1276" s="467"/>
      <c r="F1276" s="16"/>
      <c r="G1276" s="465"/>
      <c r="H1276" s="465"/>
      <c r="I1276" s="249"/>
    </row>
    <row r="1277" spans="1:9" ht="18">
      <c r="A1277" s="460" t="s">
        <v>234</v>
      </c>
      <c r="B1277" s="465"/>
      <c r="C1277" s="465"/>
      <c r="D1277" s="992"/>
      <c r="E1277" s="464" t="str">
        <f>E1203</f>
        <v>JANE B. LARIOSA</v>
      </c>
      <c r="F1277" s="16"/>
      <c r="G1277" s="1091" t="str">
        <f>G116</f>
        <v>WILLIAM E. CALVEZ, CE</v>
      </c>
      <c r="H1277" s="1091"/>
      <c r="I1277" s="1092"/>
    </row>
    <row r="1278" spans="1:9" ht="18">
      <c r="A1278" s="660" t="s">
        <v>313</v>
      </c>
      <c r="B1278" s="661"/>
      <c r="C1278" s="661"/>
      <c r="D1278" s="995"/>
      <c r="E1278" s="505" t="str">
        <f>E1204</f>
        <v>AO II/OIC MBO</v>
      </c>
      <c r="F1278" s="16"/>
      <c r="G1278" s="1104" t="s">
        <v>155</v>
      </c>
      <c r="H1278" s="1104"/>
      <c r="I1278" s="1105"/>
    </row>
    <row r="1279" spans="1:9" ht="18">
      <c r="A1279" s="472"/>
      <c r="B1279" s="473"/>
      <c r="C1279" s="473"/>
      <c r="D1279" s="474"/>
      <c r="E1279" s="475"/>
      <c r="F1279" s="840"/>
      <c r="G1279" s="582"/>
      <c r="H1279" s="582"/>
      <c r="I1279" s="880"/>
    </row>
    <row r="1280" ht="12.75">
      <c r="B1280" s="476"/>
    </row>
    <row r="1281" ht="12.75">
      <c r="B1281" s="476"/>
    </row>
    <row r="1282" ht="12.75">
      <c r="B1282" s="476"/>
    </row>
    <row r="1283" ht="12.75">
      <c r="B1283" s="476"/>
    </row>
    <row r="1284" ht="12.75">
      <c r="B1284" s="476"/>
    </row>
    <row r="1285" ht="12.75">
      <c r="B1285" s="476"/>
    </row>
    <row r="1286" ht="12.75">
      <c r="B1286" s="476"/>
    </row>
    <row r="1287" ht="12.75">
      <c r="B1287" s="476"/>
    </row>
    <row r="1288" ht="12.75">
      <c r="B1288" s="476"/>
    </row>
    <row r="1289" ht="12.75">
      <c r="B1289" s="476"/>
    </row>
    <row r="1290" ht="12.75">
      <c r="B1290" s="476"/>
    </row>
    <row r="1291" ht="12.75">
      <c r="B1291" s="476"/>
    </row>
    <row r="1292" ht="12.75">
      <c r="B1292" s="476"/>
    </row>
    <row r="1293" ht="7.5" customHeight="1">
      <c r="B1293" s="476"/>
    </row>
    <row r="1294" spans="1:9" ht="14.25" customHeight="1">
      <c r="A1294" s="699" t="s">
        <v>245</v>
      </c>
      <c r="B1294" s="407"/>
      <c r="C1294" s="407"/>
      <c r="D1294" s="701"/>
      <c r="E1294" s="409"/>
      <c r="F1294" s="797"/>
      <c r="G1294" s="407"/>
      <c r="H1294" s="407"/>
      <c r="I1294" s="854"/>
    </row>
    <row r="1295" spans="1:9" ht="15.75" customHeight="1">
      <c r="A1295" s="1106" t="s">
        <v>276</v>
      </c>
      <c r="B1295" s="1107"/>
      <c r="C1295" s="1107"/>
      <c r="D1295" s="1107"/>
      <c r="E1295" s="1107"/>
      <c r="F1295" s="1107"/>
      <c r="G1295" s="1107"/>
      <c r="H1295" s="1107"/>
      <c r="I1295" s="1108"/>
    </row>
    <row r="1296" spans="1:9" ht="13.5" customHeight="1">
      <c r="A1296" s="1109" t="str">
        <f>A6</f>
        <v>Municipality of Trento</v>
      </c>
      <c r="B1296" s="1110"/>
      <c r="C1296" s="1110"/>
      <c r="D1296" s="1110"/>
      <c r="E1296" s="1110"/>
      <c r="F1296" s="1110"/>
      <c r="G1296" s="1110"/>
      <c r="H1296" s="1110"/>
      <c r="I1296" s="1111"/>
    </row>
    <row r="1297" spans="1:9" ht="12" customHeight="1">
      <c r="A1297" s="414" t="s">
        <v>264</v>
      </c>
      <c r="B1297" s="700"/>
      <c r="C1297" s="700"/>
      <c r="D1297" s="481"/>
      <c r="E1297" s="486"/>
      <c r="F1297" s="842"/>
      <c r="G1297" s="761"/>
      <c r="H1297" s="761"/>
      <c r="I1297" s="882"/>
    </row>
    <row r="1298" spans="1:9" ht="9" customHeight="1">
      <c r="A1298" s="571"/>
      <c r="B1298" s="411"/>
      <c r="C1298" s="411"/>
      <c r="D1298" s="700"/>
      <c r="E1298" s="413"/>
      <c r="F1298" s="11"/>
      <c r="G1298" s="411"/>
      <c r="H1298" s="411"/>
      <c r="I1298" s="855"/>
    </row>
    <row r="1299" spans="1:11" s="6" customFormat="1" ht="13.5" customHeight="1">
      <c r="A1299" s="1112" t="s">
        <v>181</v>
      </c>
      <c r="B1299" s="1113"/>
      <c r="C1299" s="1114"/>
      <c r="D1299" s="530"/>
      <c r="E1299" s="416" t="s">
        <v>7</v>
      </c>
      <c r="F1299" s="1115" t="str">
        <f>F9</f>
        <v>Current Year 2020 (Estimate)</v>
      </c>
      <c r="G1299" s="1116"/>
      <c r="H1299" s="1117"/>
      <c r="I1299" s="856" t="s">
        <v>10</v>
      </c>
      <c r="J1299" s="778"/>
      <c r="K1299" s="778"/>
    </row>
    <row r="1300" spans="1:11" s="6" customFormat="1" ht="12" customHeight="1">
      <c r="A1300" s="1109"/>
      <c r="B1300" s="1110"/>
      <c r="C1300" s="1111"/>
      <c r="D1300" s="417" t="s">
        <v>5</v>
      </c>
      <c r="E1300" s="486" t="str">
        <f>E10</f>
        <v>2019</v>
      </c>
      <c r="F1300" s="813" t="s">
        <v>8</v>
      </c>
      <c r="G1300" s="419" t="s">
        <v>9</v>
      </c>
      <c r="H1300" s="1118" t="s">
        <v>1</v>
      </c>
      <c r="I1300" s="813">
        <f>I10</f>
        <v>2021</v>
      </c>
      <c r="J1300" s="778"/>
      <c r="K1300" s="778"/>
    </row>
    <row r="1301" spans="1:11" s="6" customFormat="1" ht="15" customHeight="1">
      <c r="A1301" s="1109"/>
      <c r="B1301" s="1110"/>
      <c r="C1301" s="1111"/>
      <c r="D1301" s="417" t="s">
        <v>12</v>
      </c>
      <c r="E1301" s="486" t="s">
        <v>14</v>
      </c>
      <c r="F1301" s="813" t="s">
        <v>14</v>
      </c>
      <c r="G1301" s="485" t="s">
        <v>15</v>
      </c>
      <c r="H1301" s="1119"/>
      <c r="I1301" s="813" t="s">
        <v>182</v>
      </c>
      <c r="J1301" s="778"/>
      <c r="K1301" s="778"/>
    </row>
    <row r="1302" spans="1:11" s="6" customFormat="1" ht="12.75">
      <c r="A1302" s="1095" t="s">
        <v>183</v>
      </c>
      <c r="B1302" s="1096"/>
      <c r="C1302" s="1097"/>
      <c r="D1302" s="422" t="s">
        <v>184</v>
      </c>
      <c r="E1302" s="423" t="s">
        <v>185</v>
      </c>
      <c r="F1302" s="832" t="s">
        <v>186</v>
      </c>
      <c r="G1302" s="556" t="s">
        <v>187</v>
      </c>
      <c r="H1302" s="556" t="s">
        <v>188</v>
      </c>
      <c r="I1302" s="832" t="s">
        <v>189</v>
      </c>
      <c r="J1302" s="778"/>
      <c r="K1302" s="778"/>
    </row>
    <row r="1303" spans="1:9" ht="15.75">
      <c r="A1303" s="594" t="s">
        <v>338</v>
      </c>
      <c r="B1303" s="411"/>
      <c r="C1303" s="493"/>
      <c r="D1303" s="490"/>
      <c r="E1303" s="436">
        <f>E1304+E1305+E1306+E1307+E1308+E1309+E1311+E1312+E1313</f>
        <v>1722991.86</v>
      </c>
      <c r="F1303" s="636">
        <f>F1305+F1308+F1309+F1316</f>
        <v>895586.78</v>
      </c>
      <c r="G1303" s="436">
        <f>G1304+G1305+G1307+G1308+G1309+G1312+G1315+G1316+G1317</f>
        <v>1455121.3399999999</v>
      </c>
      <c r="H1303" s="436">
        <f>SUM(H1304:H1320)</f>
        <v>2350708.12</v>
      </c>
      <c r="I1303" s="636">
        <f>SUM(I1304:I1320)</f>
        <v>2512000</v>
      </c>
    </row>
    <row r="1304" spans="1:9" ht="15.75">
      <c r="A1304" s="592"/>
      <c r="B1304" s="411" t="s">
        <v>322</v>
      </c>
      <c r="C1304" s="493"/>
      <c r="D1304" s="490"/>
      <c r="E1304" s="434">
        <v>148976.73</v>
      </c>
      <c r="F1304" s="637"/>
      <c r="G1304" s="437">
        <f aca="true" t="shared" si="34" ref="G1304:G1316">H1304-F1304</f>
        <v>80000</v>
      </c>
      <c r="H1304" s="637">
        <f>80000</f>
        <v>80000</v>
      </c>
      <c r="I1304" s="739">
        <v>50000</v>
      </c>
    </row>
    <row r="1305" spans="1:9" ht="15.75">
      <c r="A1305" s="592"/>
      <c r="B1305" s="411" t="s">
        <v>323</v>
      </c>
      <c r="C1305" s="493"/>
      <c r="D1305" s="490"/>
      <c r="E1305" s="434">
        <v>188962</v>
      </c>
      <c r="F1305" s="637">
        <v>505956.78</v>
      </c>
      <c r="G1305" s="434">
        <f t="shared" si="34"/>
        <v>230985.21999999997</v>
      </c>
      <c r="H1305" s="637">
        <f>80000+506942+150000</f>
        <v>736942</v>
      </c>
      <c r="I1305" s="637">
        <f>130000+150000+100000</f>
        <v>380000</v>
      </c>
    </row>
    <row r="1306" spans="1:9" ht="15.75">
      <c r="A1306" s="592"/>
      <c r="B1306" s="411" t="s">
        <v>324</v>
      </c>
      <c r="C1306" s="493"/>
      <c r="D1306" s="490"/>
      <c r="E1306" s="434">
        <v>744000</v>
      </c>
      <c r="F1306" s="637"/>
      <c r="G1306" s="434">
        <f t="shared" si="34"/>
        <v>0</v>
      </c>
      <c r="H1306" s="637"/>
      <c r="I1306" s="881"/>
    </row>
    <row r="1307" spans="1:9" ht="15.75">
      <c r="A1307" s="592"/>
      <c r="B1307" s="411" t="s">
        <v>325</v>
      </c>
      <c r="C1307" s="493"/>
      <c r="D1307" s="490"/>
      <c r="E1307" s="434">
        <v>74450</v>
      </c>
      <c r="F1307" s="637"/>
      <c r="G1307" s="434">
        <f t="shared" si="34"/>
        <v>80000</v>
      </c>
      <c r="H1307" s="637">
        <f>80000</f>
        <v>80000</v>
      </c>
      <c r="I1307" s="637">
        <v>50000</v>
      </c>
    </row>
    <row r="1308" spans="1:9" ht="15.75">
      <c r="A1308" s="592"/>
      <c r="B1308" s="411" t="s">
        <v>396</v>
      </c>
      <c r="C1308" s="493"/>
      <c r="D1308" s="490"/>
      <c r="E1308" s="434">
        <v>36271</v>
      </c>
      <c r="F1308" s="637">
        <v>19530</v>
      </c>
      <c r="G1308" s="434">
        <f t="shared" si="34"/>
        <v>30470</v>
      </c>
      <c r="H1308" s="637">
        <v>50000</v>
      </c>
      <c r="I1308" s="637">
        <f>80000+100000+40000</f>
        <v>220000</v>
      </c>
    </row>
    <row r="1309" spans="1:9" ht="15.75">
      <c r="A1309" s="592"/>
      <c r="B1309" s="411" t="s">
        <v>326</v>
      </c>
      <c r="C1309" s="493"/>
      <c r="D1309" s="490"/>
      <c r="E1309" s="434">
        <v>1800</v>
      </c>
      <c r="F1309" s="637">
        <v>7100</v>
      </c>
      <c r="G1309" s="434">
        <f t="shared" si="34"/>
        <v>12900</v>
      </c>
      <c r="H1309" s="637">
        <v>20000</v>
      </c>
      <c r="I1309" s="637">
        <v>20000</v>
      </c>
    </row>
    <row r="1310" spans="1:9" ht="15.75">
      <c r="A1310" s="592"/>
      <c r="B1310" s="411" t="s">
        <v>397</v>
      </c>
      <c r="C1310" s="493"/>
      <c r="D1310" s="490"/>
      <c r="E1310" s="434"/>
      <c r="F1310" s="637"/>
      <c r="G1310" s="434">
        <f t="shared" si="34"/>
        <v>0</v>
      </c>
      <c r="H1310" s="637"/>
      <c r="I1310" s="637"/>
    </row>
    <row r="1311" spans="1:9" ht="15.75">
      <c r="A1311" s="592"/>
      <c r="B1311" s="411" t="s">
        <v>327</v>
      </c>
      <c r="C1311" s="493"/>
      <c r="D1311" s="490"/>
      <c r="E1311" s="434">
        <v>27750</v>
      </c>
      <c r="F1311" s="637"/>
      <c r="G1311" s="434">
        <f t="shared" si="34"/>
        <v>0</v>
      </c>
      <c r="H1311" s="637"/>
      <c r="I1311" s="637"/>
    </row>
    <row r="1312" spans="1:9" ht="15.75">
      <c r="A1312" s="592"/>
      <c r="B1312" s="627" t="s">
        <v>383</v>
      </c>
      <c r="C1312" s="627"/>
      <c r="D1312" s="628"/>
      <c r="E1312" s="434">
        <v>300846.81</v>
      </c>
      <c r="F1312" s="637"/>
      <c r="G1312" s="434">
        <f t="shared" si="34"/>
        <v>180000</v>
      </c>
      <c r="H1312" s="637">
        <v>180000</v>
      </c>
      <c r="I1312" s="637"/>
    </row>
    <row r="1313" spans="1:9" ht="15.75">
      <c r="A1313" s="592"/>
      <c r="B1313" s="609" t="s">
        <v>401</v>
      </c>
      <c r="C1313" s="493"/>
      <c r="D1313" s="490"/>
      <c r="E1313" s="434">
        <v>199935.32</v>
      </c>
      <c r="F1313" s="637"/>
      <c r="G1313" s="434">
        <f t="shared" si="34"/>
        <v>0</v>
      </c>
      <c r="H1313" s="637"/>
      <c r="I1313" s="637"/>
    </row>
    <row r="1314" spans="1:9" ht="15.75">
      <c r="A1314" s="592"/>
      <c r="B1314" s="609" t="s">
        <v>328</v>
      </c>
      <c r="C1314" s="493"/>
      <c r="D1314" s="490"/>
      <c r="E1314" s="434"/>
      <c r="F1314" s="637"/>
      <c r="G1314" s="434">
        <f t="shared" si="34"/>
        <v>0</v>
      </c>
      <c r="H1314" s="637"/>
      <c r="I1314" s="637"/>
    </row>
    <row r="1315" spans="1:9" ht="15.75">
      <c r="A1315" s="592"/>
      <c r="B1315" s="609" t="s">
        <v>522</v>
      </c>
      <c r="C1315" s="493"/>
      <c r="D1315" s="490"/>
      <c r="E1315" s="434"/>
      <c r="F1315" s="637"/>
      <c r="G1315" s="434">
        <f t="shared" si="34"/>
        <v>71766.12</v>
      </c>
      <c r="H1315" s="637">
        <v>71766.12</v>
      </c>
      <c r="I1315" s="637">
        <v>60000</v>
      </c>
    </row>
    <row r="1316" spans="1:9" ht="15.75">
      <c r="A1316" s="592"/>
      <c r="B1316" s="609" t="s">
        <v>453</v>
      </c>
      <c r="C1316" s="493"/>
      <c r="D1316" s="490"/>
      <c r="E1316" s="434"/>
      <c r="F1316" s="637">
        <v>363000</v>
      </c>
      <c r="G1316" s="434">
        <f t="shared" si="34"/>
        <v>669000</v>
      </c>
      <c r="H1316" s="637">
        <v>1032000</v>
      </c>
      <c r="I1316" s="637">
        <v>1032000</v>
      </c>
    </row>
    <row r="1317" spans="1:9" ht="15.75">
      <c r="A1317" s="592"/>
      <c r="B1317" s="609" t="s">
        <v>452</v>
      </c>
      <c r="C1317" s="493"/>
      <c r="D1317" s="490"/>
      <c r="E1317" s="434"/>
      <c r="F1317" s="637"/>
      <c r="G1317" s="434">
        <v>100000</v>
      </c>
      <c r="H1317" s="637">
        <v>100000</v>
      </c>
      <c r="I1317" s="637"/>
    </row>
    <row r="1318" spans="1:9" ht="15.75">
      <c r="A1318" s="592"/>
      <c r="B1318" s="609" t="s">
        <v>504</v>
      </c>
      <c r="C1318" s="493"/>
      <c r="D1318" s="490"/>
      <c r="E1318" s="434"/>
      <c r="F1318" s="637"/>
      <c r="G1318" s="434"/>
      <c r="H1318" s="637"/>
      <c r="I1318" s="637">
        <v>350000</v>
      </c>
    </row>
    <row r="1319" spans="1:9" ht="15.75">
      <c r="A1319" s="592"/>
      <c r="B1319" s="609" t="s">
        <v>298</v>
      </c>
      <c r="C1319" s="493"/>
      <c r="D1319" s="490"/>
      <c r="E1319" s="434"/>
      <c r="F1319" s="637"/>
      <c r="G1319" s="434"/>
      <c r="H1319" s="637"/>
      <c r="I1319" s="637">
        <v>100000</v>
      </c>
    </row>
    <row r="1320" spans="1:9" ht="15.75">
      <c r="A1320" s="592"/>
      <c r="B1320" s="411" t="s">
        <v>505</v>
      </c>
      <c r="C1320" s="493"/>
      <c r="D1320" s="490"/>
      <c r="E1320" s="494"/>
      <c r="F1320" s="647"/>
      <c r="G1320" s="494"/>
      <c r="H1320" s="647"/>
      <c r="I1320" s="647">
        <v>250000</v>
      </c>
    </row>
    <row r="1321" spans="1:11" s="2" customFormat="1" ht="22.5" customHeight="1">
      <c r="A1321" s="1098" t="s">
        <v>115</v>
      </c>
      <c r="B1321" s="1099"/>
      <c r="C1321" s="1100"/>
      <c r="D1321" s="608"/>
      <c r="E1321" s="596">
        <f>E1323+E1324+E1325+E1326+E1327+E1328+E1330+E1331+E1332+E1333+E1334+E1335+E1338+E1339+E1341+E1342+E1344+E1345+E1346+E1347+E1348+E1349+E1350+E1351+E1352+E1358+E1360+E1361+E1362+E1365+E1366+E1367+E1370+E1371+E1373+E1382+E1384+E1386+E1388+E1389+E1390+E1391</f>
        <v>12484311.51</v>
      </c>
      <c r="F1321" s="636">
        <f>F1323+F1324+F1325+F1327+F1330+F1331+F1332+F1334+F1354+F1355+F1362+F1382+F1386+F1389+F1390+F1391</f>
        <v>4086174.7099999995</v>
      </c>
      <c r="G1321" s="636">
        <f>G1323+G1324+G1325+G1326+G1327+G1328+G1330+G1331+G1332+G1334+G1335+G1336+G1344+G1346+G1347+G1348+G1350+G1353+G1354+G1358+G1360+G1361+G1362+G1368+G1373+G1376+G1381+G1382+G1386+G1389+G1390+G1391+G1355</f>
        <v>15913825.29</v>
      </c>
      <c r="H1321" s="636">
        <f>H1323+H1324+H1325+H1326+H1327+H1328+H1330+H1331+H1332+H1334+H1335+H1336+H1344+H1346+H1347+H1348+H1350+H1353+H1354+H1358+H1360+H1361+H1362+H1368+H1373+H1376+H1381+H1382+H1386+H1389+H1390+H1391+H1355</f>
        <v>20000000</v>
      </c>
      <c r="I1321" s="636">
        <f>I1393+I1394+I1395+I1396+I1397+I1398+I1399+I1400+I1401+I1403+I1404+I1405+I1406+I1407+I1408+I1409+I1411+I1412+I1413+I1414+I1415+I1416+I1417+I1418+I1419+I1421+I1422+I1423+I1424+I1425+I1426+I1427+I1428+I1429+I1431+I1432+I1433+I1436+I1438</f>
        <v>20450000</v>
      </c>
      <c r="J1321" s="782"/>
      <c r="K1321" s="782"/>
    </row>
    <row r="1322" spans="1:9" ht="21" customHeight="1">
      <c r="A1322" s="592"/>
      <c r="B1322" s="563" t="s">
        <v>116</v>
      </c>
      <c r="C1322" s="493"/>
      <c r="D1322" s="485"/>
      <c r="E1322" s="413"/>
      <c r="F1322" s="637"/>
      <c r="G1322" s="434"/>
      <c r="H1322" s="637"/>
      <c r="I1322" s="637"/>
    </row>
    <row r="1323" spans="1:9" ht="15.75">
      <c r="A1323" s="592"/>
      <c r="B1323" s="587"/>
      <c r="C1323" s="439" t="s">
        <v>117</v>
      </c>
      <c r="D1323" s="485"/>
      <c r="E1323" s="413">
        <v>1293299.54</v>
      </c>
      <c r="F1323" s="637">
        <v>839728.3</v>
      </c>
      <c r="G1323" s="434">
        <f>H1323-F1323</f>
        <v>1160271.7</v>
      </c>
      <c r="H1323" s="637">
        <v>2000000</v>
      </c>
      <c r="I1323" s="637"/>
    </row>
    <row r="1324" spans="1:9" ht="15.75">
      <c r="A1324" s="592"/>
      <c r="B1324" s="411"/>
      <c r="C1324" s="10" t="s">
        <v>118</v>
      </c>
      <c r="D1324" s="485"/>
      <c r="E1324" s="434">
        <v>93519.55</v>
      </c>
      <c r="F1324" s="637">
        <v>405759</v>
      </c>
      <c r="G1324" s="434">
        <f>H1324-F1324</f>
        <v>94241</v>
      </c>
      <c r="H1324" s="637">
        <v>500000</v>
      </c>
      <c r="I1324" s="637"/>
    </row>
    <row r="1325" spans="1:9" ht="15.75">
      <c r="A1325" s="592"/>
      <c r="B1325" s="574"/>
      <c r="C1325" s="598" t="s">
        <v>364</v>
      </c>
      <c r="D1325" s="485"/>
      <c r="E1325" s="434">
        <v>50000</v>
      </c>
      <c r="F1325" s="637">
        <v>24903.9</v>
      </c>
      <c r="G1325" s="434">
        <f aca="true" t="shared" si="35" ref="G1325:G1336">H1325-F1325</f>
        <v>75096.1</v>
      </c>
      <c r="H1325" s="637">
        <v>100000</v>
      </c>
      <c r="I1325" s="637"/>
    </row>
    <row r="1326" spans="1:9" ht="15.75">
      <c r="A1326" s="592"/>
      <c r="B1326" s="574"/>
      <c r="C1326" s="598" t="s">
        <v>365</v>
      </c>
      <c r="D1326" s="485"/>
      <c r="E1326" s="434">
        <v>65647.55</v>
      </c>
      <c r="F1326" s="637">
        <v>0</v>
      </c>
      <c r="G1326" s="434">
        <f t="shared" si="35"/>
        <v>100000</v>
      </c>
      <c r="H1326" s="637">
        <v>100000</v>
      </c>
      <c r="I1326" s="637"/>
    </row>
    <row r="1327" spans="1:9" ht="15.75">
      <c r="A1327" s="592"/>
      <c r="B1327" s="574"/>
      <c r="C1327" s="598" t="s">
        <v>462</v>
      </c>
      <c r="D1327" s="485"/>
      <c r="E1327" s="434">
        <v>79501</v>
      </c>
      <c r="F1327" s="637">
        <v>233407.9</v>
      </c>
      <c r="G1327" s="434">
        <f t="shared" si="35"/>
        <v>266592.1</v>
      </c>
      <c r="H1327" s="637">
        <v>500000</v>
      </c>
      <c r="I1327" s="637"/>
    </row>
    <row r="1328" spans="1:9" ht="15.75">
      <c r="A1328" s="592"/>
      <c r="B1328" s="574"/>
      <c r="C1328" s="598" t="s">
        <v>366</v>
      </c>
      <c r="D1328" s="485"/>
      <c r="E1328" s="434">
        <v>116039</v>
      </c>
      <c r="F1328" s="637">
        <v>0</v>
      </c>
      <c r="G1328" s="434">
        <f t="shared" si="35"/>
        <v>100000</v>
      </c>
      <c r="H1328" s="637">
        <v>100000</v>
      </c>
      <c r="I1328" s="637"/>
    </row>
    <row r="1329" spans="1:9" ht="40.5" customHeight="1">
      <c r="A1329" s="592"/>
      <c r="B1329" s="1101" t="s">
        <v>346</v>
      </c>
      <c r="C1329" s="1102"/>
      <c r="D1329" s="485"/>
      <c r="E1329" s="434"/>
      <c r="F1329" s="637"/>
      <c r="G1329" s="434">
        <f t="shared" si="35"/>
        <v>0</v>
      </c>
      <c r="H1329" s="637"/>
      <c r="I1329" s="637"/>
    </row>
    <row r="1330" spans="1:9" ht="15.75">
      <c r="A1330" s="592"/>
      <c r="B1330" s="10"/>
      <c r="C1330" s="10" t="s">
        <v>119</v>
      </c>
      <c r="D1330" s="485"/>
      <c r="E1330" s="438">
        <v>206000</v>
      </c>
      <c r="F1330" s="802">
        <v>54700</v>
      </c>
      <c r="G1330" s="434">
        <f t="shared" si="35"/>
        <v>145300</v>
      </c>
      <c r="H1330" s="637">
        <v>200000</v>
      </c>
      <c r="I1330" s="637"/>
    </row>
    <row r="1331" spans="1:9" ht="15.75">
      <c r="A1331" s="592"/>
      <c r="B1331" s="10"/>
      <c r="C1331" s="10" t="s">
        <v>120</v>
      </c>
      <c r="D1331" s="485"/>
      <c r="E1331" s="438">
        <v>85790</v>
      </c>
      <c r="F1331" s="802">
        <v>20000</v>
      </c>
      <c r="G1331" s="434">
        <f t="shared" si="35"/>
        <v>180000</v>
      </c>
      <c r="H1331" s="637">
        <v>200000</v>
      </c>
      <c r="I1331" s="637"/>
    </row>
    <row r="1332" spans="1:9" ht="15.75">
      <c r="A1332" s="592"/>
      <c r="B1332" s="10"/>
      <c r="C1332" s="10" t="s">
        <v>347</v>
      </c>
      <c r="D1332" s="485"/>
      <c r="E1332" s="438">
        <v>159121.63</v>
      </c>
      <c r="F1332" s="802">
        <v>2881.21</v>
      </c>
      <c r="G1332" s="434">
        <f t="shared" si="35"/>
        <v>247118.79</v>
      </c>
      <c r="H1332" s="637">
        <v>250000</v>
      </c>
      <c r="I1332" s="637"/>
    </row>
    <row r="1333" spans="1:9" ht="15.75">
      <c r="A1333" s="592"/>
      <c r="B1333" s="10"/>
      <c r="C1333" s="10" t="s">
        <v>348</v>
      </c>
      <c r="D1333" s="485"/>
      <c r="E1333" s="438">
        <v>240168</v>
      </c>
      <c r="F1333" s="802">
        <v>0</v>
      </c>
      <c r="G1333" s="434">
        <f t="shared" si="35"/>
        <v>0</v>
      </c>
      <c r="H1333" s="637"/>
      <c r="I1333" s="637"/>
    </row>
    <row r="1334" spans="1:9" ht="15.75">
      <c r="A1334" s="592"/>
      <c r="B1334" s="10"/>
      <c r="C1334" s="10" t="s">
        <v>349</v>
      </c>
      <c r="D1334" s="485"/>
      <c r="E1334" s="438">
        <v>54075</v>
      </c>
      <c r="F1334" s="802">
        <v>36800</v>
      </c>
      <c r="G1334" s="434">
        <f t="shared" si="35"/>
        <v>63200</v>
      </c>
      <c r="H1334" s="637">
        <v>100000</v>
      </c>
      <c r="I1334" s="637"/>
    </row>
    <row r="1335" spans="1:9" ht="15.75">
      <c r="A1335" s="592"/>
      <c r="B1335" s="10"/>
      <c r="C1335" s="10" t="s">
        <v>350</v>
      </c>
      <c r="D1335" s="485"/>
      <c r="E1335" s="438">
        <v>104400</v>
      </c>
      <c r="F1335" s="802">
        <v>0</v>
      </c>
      <c r="G1335" s="434">
        <f t="shared" si="35"/>
        <v>200000</v>
      </c>
      <c r="H1335" s="637">
        <v>200000</v>
      </c>
      <c r="I1335" s="637"/>
    </row>
    <row r="1336" spans="1:9" ht="15.75">
      <c r="A1336" s="592"/>
      <c r="B1336" s="10"/>
      <c r="C1336" s="10" t="s">
        <v>122</v>
      </c>
      <c r="D1336" s="485"/>
      <c r="E1336" s="438"/>
      <c r="F1336" s="802">
        <v>0</v>
      </c>
      <c r="G1336" s="434">
        <f t="shared" si="35"/>
        <v>100000</v>
      </c>
      <c r="H1336" s="637">
        <v>100000</v>
      </c>
      <c r="I1336" s="637"/>
    </row>
    <row r="1337" spans="1:9" ht="24" customHeight="1">
      <c r="A1337" s="592"/>
      <c r="B1337" s="563" t="s">
        <v>123</v>
      </c>
      <c r="C1337" s="411"/>
      <c r="D1337" s="485"/>
      <c r="E1337" s="438"/>
      <c r="F1337" s="802"/>
      <c r="G1337" s="434"/>
      <c r="H1337" s="637"/>
      <c r="I1337" s="637"/>
    </row>
    <row r="1338" spans="1:9" ht="15.75">
      <c r="A1338" s="592"/>
      <c r="B1338" s="411"/>
      <c r="C1338" s="483" t="s">
        <v>124</v>
      </c>
      <c r="D1338" s="485"/>
      <c r="E1338" s="438">
        <v>22818</v>
      </c>
      <c r="F1338" s="802"/>
      <c r="G1338" s="434"/>
      <c r="H1338" s="637"/>
      <c r="I1338" s="637"/>
    </row>
    <row r="1339" spans="1:9" ht="15.75">
      <c r="A1339" s="592"/>
      <c r="B1339" s="411"/>
      <c r="C1339" s="483" t="s">
        <v>125</v>
      </c>
      <c r="D1339" s="485"/>
      <c r="E1339" s="438">
        <v>169579</v>
      </c>
      <c r="F1339" s="802"/>
      <c r="G1339" s="434"/>
      <c r="H1339" s="637"/>
      <c r="I1339" s="637"/>
    </row>
    <row r="1340" spans="1:9" ht="23.25" customHeight="1">
      <c r="A1340" s="592"/>
      <c r="B1340" s="563" t="s">
        <v>126</v>
      </c>
      <c r="C1340" s="411"/>
      <c r="D1340" s="485"/>
      <c r="E1340" s="438"/>
      <c r="F1340" s="802"/>
      <c r="G1340" s="434"/>
      <c r="H1340" s="637"/>
      <c r="I1340" s="637"/>
    </row>
    <row r="1341" spans="1:9" ht="15.75">
      <c r="A1341" s="592"/>
      <c r="B1341" s="411"/>
      <c r="C1341" s="439" t="s">
        <v>304</v>
      </c>
      <c r="D1341" s="485"/>
      <c r="E1341" s="438">
        <v>100000</v>
      </c>
      <c r="F1341" s="802"/>
      <c r="G1341" s="434"/>
      <c r="H1341" s="637"/>
      <c r="I1341" s="637"/>
    </row>
    <row r="1342" spans="1:9" ht="15.75">
      <c r="A1342" s="592"/>
      <c r="B1342" s="411"/>
      <c r="C1342" s="439" t="s">
        <v>305</v>
      </c>
      <c r="D1342" s="485"/>
      <c r="E1342" s="438">
        <v>69490</v>
      </c>
      <c r="F1342" s="802"/>
      <c r="G1342" s="434"/>
      <c r="H1342" s="637"/>
      <c r="I1342" s="637"/>
    </row>
    <row r="1343" spans="1:9" ht="15.75">
      <c r="A1343" s="592"/>
      <c r="B1343" s="411"/>
      <c r="C1343" s="10" t="s">
        <v>367</v>
      </c>
      <c r="D1343" s="485"/>
      <c r="E1343" s="438"/>
      <c r="F1343" s="802"/>
      <c r="G1343" s="434"/>
      <c r="H1343" s="637"/>
      <c r="I1343" s="637"/>
    </row>
    <row r="1344" spans="1:9" ht="15.75">
      <c r="A1344" s="592"/>
      <c r="B1344" s="411"/>
      <c r="C1344" s="10" t="s">
        <v>368</v>
      </c>
      <c r="D1344" s="485"/>
      <c r="E1344" s="438">
        <v>109200</v>
      </c>
      <c r="F1344" s="802"/>
      <c r="G1344" s="434">
        <f>H1344-F1344</f>
        <v>0</v>
      </c>
      <c r="H1344" s="637"/>
      <c r="I1344" s="637"/>
    </row>
    <row r="1345" spans="1:9" ht="15.75">
      <c r="A1345" s="592"/>
      <c r="B1345" s="411"/>
      <c r="C1345" s="10" t="s">
        <v>369</v>
      </c>
      <c r="D1345" s="485"/>
      <c r="E1345" s="438">
        <v>730999.91</v>
      </c>
      <c r="F1345" s="802"/>
      <c r="G1345" s="434">
        <f aca="true" t="shared" si="36" ref="G1345:G1357">H1345-F1345</f>
        <v>0</v>
      </c>
      <c r="H1345" s="637"/>
      <c r="I1345" s="637"/>
    </row>
    <row r="1346" spans="1:9" ht="15.75">
      <c r="A1346" s="592"/>
      <c r="B1346" s="411"/>
      <c r="C1346" s="10" t="s">
        <v>370</v>
      </c>
      <c r="D1346" s="485"/>
      <c r="E1346" s="438">
        <v>1599800</v>
      </c>
      <c r="F1346" s="802"/>
      <c r="G1346" s="434">
        <f t="shared" si="36"/>
        <v>1800000</v>
      </c>
      <c r="H1346" s="637">
        <v>1800000</v>
      </c>
      <c r="I1346" s="637"/>
    </row>
    <row r="1347" spans="1:9" ht="15.75">
      <c r="A1347" s="592"/>
      <c r="B1347" s="411"/>
      <c r="C1347" s="10" t="s">
        <v>371</v>
      </c>
      <c r="D1347" s="485"/>
      <c r="E1347" s="438">
        <v>247800</v>
      </c>
      <c r="F1347" s="802"/>
      <c r="G1347" s="434">
        <f t="shared" si="36"/>
        <v>500000</v>
      </c>
      <c r="H1347" s="637">
        <v>500000</v>
      </c>
      <c r="I1347" s="637"/>
    </row>
    <row r="1348" spans="1:9" ht="15.75">
      <c r="A1348" s="592"/>
      <c r="B1348" s="411"/>
      <c r="C1348" s="10" t="s">
        <v>372</v>
      </c>
      <c r="D1348" s="485"/>
      <c r="E1348" s="438">
        <v>995031.84</v>
      </c>
      <c r="F1348" s="802"/>
      <c r="G1348" s="434">
        <f t="shared" si="36"/>
        <v>3000000</v>
      </c>
      <c r="H1348" s="637">
        <v>3000000</v>
      </c>
      <c r="I1348" s="637"/>
    </row>
    <row r="1349" spans="1:9" ht="15.75">
      <c r="A1349" s="592"/>
      <c r="B1349" s="411"/>
      <c r="C1349" s="10" t="s">
        <v>373</v>
      </c>
      <c r="D1349" s="485"/>
      <c r="E1349" s="438">
        <v>1988732</v>
      </c>
      <c r="F1349" s="802"/>
      <c r="G1349" s="434">
        <f t="shared" si="36"/>
        <v>0</v>
      </c>
      <c r="H1349" s="637"/>
      <c r="I1349" s="637"/>
    </row>
    <row r="1350" spans="1:9" ht="15.75">
      <c r="A1350" s="592"/>
      <c r="B1350" s="411"/>
      <c r="C1350" s="10" t="s">
        <v>121</v>
      </c>
      <c r="D1350" s="485"/>
      <c r="E1350" s="438">
        <v>398886.25</v>
      </c>
      <c r="F1350" s="802"/>
      <c r="G1350" s="434">
        <f t="shared" si="36"/>
        <v>1000000</v>
      </c>
      <c r="H1350" s="637">
        <v>1000000</v>
      </c>
      <c r="I1350" s="637"/>
    </row>
    <row r="1351" spans="1:9" ht="15.75">
      <c r="A1351" s="592"/>
      <c r="B1351" s="411"/>
      <c r="C1351" s="10" t="s">
        <v>374</v>
      </c>
      <c r="D1351" s="485"/>
      <c r="E1351" s="438">
        <v>190750</v>
      </c>
      <c r="F1351" s="802"/>
      <c r="G1351" s="434">
        <f t="shared" si="36"/>
        <v>0</v>
      </c>
      <c r="H1351" s="637"/>
      <c r="I1351" s="637"/>
    </row>
    <row r="1352" spans="1:9" ht="15.75">
      <c r="A1352" s="592"/>
      <c r="B1352" s="411"/>
      <c r="C1352" s="10" t="s">
        <v>306</v>
      </c>
      <c r="D1352" s="485"/>
      <c r="E1352" s="438">
        <v>512000</v>
      </c>
      <c r="F1352" s="802"/>
      <c r="G1352" s="434">
        <f t="shared" si="36"/>
        <v>0</v>
      </c>
      <c r="H1352" s="637"/>
      <c r="I1352" s="637"/>
    </row>
    <row r="1353" spans="1:9" ht="15.75">
      <c r="A1353" s="592"/>
      <c r="B1353" s="411"/>
      <c r="C1353" s="10" t="s">
        <v>445</v>
      </c>
      <c r="D1353" s="485"/>
      <c r="E1353" s="438"/>
      <c r="F1353" s="802"/>
      <c r="G1353" s="434">
        <f t="shared" si="36"/>
        <v>2000000</v>
      </c>
      <c r="H1353" s="637">
        <v>2000000</v>
      </c>
      <c r="I1353" s="637"/>
    </row>
    <row r="1354" spans="1:9" ht="15.75">
      <c r="A1354" s="592"/>
      <c r="B1354" s="411"/>
      <c r="C1354" s="10" t="s">
        <v>446</v>
      </c>
      <c r="D1354" s="485"/>
      <c r="E1354" s="438"/>
      <c r="F1354" s="802">
        <v>735000</v>
      </c>
      <c r="G1354" s="434">
        <f t="shared" si="36"/>
        <v>1265000</v>
      </c>
      <c r="H1354" s="637">
        <v>2000000</v>
      </c>
      <c r="I1354" s="637"/>
    </row>
    <row r="1355" spans="1:9" ht="15.75">
      <c r="A1355" s="592"/>
      <c r="B1355" s="411"/>
      <c r="C1355" s="10" t="s">
        <v>458</v>
      </c>
      <c r="D1355" s="485"/>
      <c r="E1355" s="438"/>
      <c r="F1355" s="802">
        <v>698820</v>
      </c>
      <c r="G1355" s="434">
        <f t="shared" si="36"/>
        <v>301180</v>
      </c>
      <c r="H1355" s="637">
        <v>1000000</v>
      </c>
      <c r="I1355" s="637"/>
    </row>
    <row r="1356" spans="1:9" ht="19.5" customHeight="1">
      <c r="A1356" s="592"/>
      <c r="B1356" s="563" t="s">
        <v>351</v>
      </c>
      <c r="C1356" s="10"/>
      <c r="D1356" s="485"/>
      <c r="E1356" s="438"/>
      <c r="F1356" s="802"/>
      <c r="G1356" s="434">
        <f t="shared" si="36"/>
        <v>0</v>
      </c>
      <c r="H1356" s="637"/>
      <c r="I1356" s="637"/>
    </row>
    <row r="1357" spans="1:9" ht="15.75">
      <c r="A1357" s="592"/>
      <c r="B1357" s="411" t="s">
        <v>480</v>
      </c>
      <c r="C1357" s="10"/>
      <c r="D1357" s="485"/>
      <c r="E1357" s="438"/>
      <c r="F1357" s="802"/>
      <c r="G1357" s="434">
        <f t="shared" si="36"/>
        <v>0</v>
      </c>
      <c r="H1357" s="637"/>
      <c r="I1357" s="637"/>
    </row>
    <row r="1358" spans="1:9" ht="15.75">
      <c r="A1358" s="592"/>
      <c r="B1358" s="411"/>
      <c r="C1358" s="10" t="s">
        <v>352</v>
      </c>
      <c r="D1358" s="485"/>
      <c r="E1358" s="438">
        <v>360000</v>
      </c>
      <c r="F1358" s="802"/>
      <c r="G1358" s="434">
        <f>H1358-F1358</f>
        <v>500000</v>
      </c>
      <c r="H1358" s="637">
        <v>500000</v>
      </c>
      <c r="I1358" s="637"/>
    </row>
    <row r="1359" spans="1:9" ht="15.75">
      <c r="A1359" s="592"/>
      <c r="B1359" s="411"/>
      <c r="C1359" s="10" t="s">
        <v>353</v>
      </c>
      <c r="D1359" s="485"/>
      <c r="E1359" s="438"/>
      <c r="F1359" s="802"/>
      <c r="G1359" s="434">
        <f>H1359-F1359</f>
        <v>0</v>
      </c>
      <c r="H1359" s="637"/>
      <c r="I1359" s="637"/>
    </row>
    <row r="1360" spans="1:9" ht="15.75">
      <c r="A1360" s="592"/>
      <c r="B1360" s="411"/>
      <c r="C1360" s="10" t="s">
        <v>354</v>
      </c>
      <c r="D1360" s="485"/>
      <c r="E1360" s="438">
        <v>144561.57</v>
      </c>
      <c r="F1360" s="802"/>
      <c r="G1360" s="434">
        <f>H1360-F1360</f>
        <v>150000</v>
      </c>
      <c r="H1360" s="637">
        <v>150000</v>
      </c>
      <c r="I1360" s="637"/>
    </row>
    <row r="1361" spans="1:9" ht="15.75">
      <c r="A1361" s="592"/>
      <c r="B1361" s="411"/>
      <c r="C1361" s="10" t="s">
        <v>355</v>
      </c>
      <c r="D1361" s="485"/>
      <c r="E1361" s="438">
        <v>97650</v>
      </c>
      <c r="F1361" s="802"/>
      <c r="G1361" s="434">
        <f>H1361-F1361</f>
        <v>50000</v>
      </c>
      <c r="H1361" s="637">
        <v>50000</v>
      </c>
      <c r="I1361" s="637"/>
    </row>
    <row r="1362" spans="1:9" ht="15.75">
      <c r="A1362" s="592"/>
      <c r="B1362" s="411"/>
      <c r="C1362" s="10" t="s">
        <v>356</v>
      </c>
      <c r="D1362" s="485"/>
      <c r="E1362" s="438">
        <v>208885</v>
      </c>
      <c r="F1362" s="802">
        <v>24903.9</v>
      </c>
      <c r="G1362" s="434">
        <f>H1362-F1362</f>
        <v>125096.1</v>
      </c>
      <c r="H1362" s="637">
        <v>150000</v>
      </c>
      <c r="I1362" s="637"/>
    </row>
    <row r="1363" spans="1:9" ht="21" customHeight="1">
      <c r="A1363" s="592"/>
      <c r="B1363" s="563" t="s">
        <v>357</v>
      </c>
      <c r="C1363" s="10"/>
      <c r="D1363" s="485"/>
      <c r="E1363" s="438"/>
      <c r="F1363" s="802"/>
      <c r="G1363" s="434"/>
      <c r="H1363" s="638"/>
      <c r="I1363" s="638"/>
    </row>
    <row r="1364" spans="1:9" ht="15.75">
      <c r="A1364" s="592"/>
      <c r="B1364" s="411"/>
      <c r="C1364" s="10" t="s">
        <v>358</v>
      </c>
      <c r="D1364" s="485"/>
      <c r="E1364" s="438"/>
      <c r="F1364" s="802"/>
      <c r="G1364" s="434"/>
      <c r="H1364" s="637"/>
      <c r="I1364" s="637"/>
    </row>
    <row r="1365" spans="1:9" ht="15.75">
      <c r="A1365" s="592"/>
      <c r="B1365" s="411"/>
      <c r="C1365" s="987" t="s">
        <v>376</v>
      </c>
      <c r="D1365" s="485"/>
      <c r="E1365" s="438">
        <v>55000.2</v>
      </c>
      <c r="F1365" s="802"/>
      <c r="G1365" s="434">
        <f aca="true" t="shared" si="37" ref="G1365:G1376">H1365-F1365</f>
        <v>0</v>
      </c>
      <c r="H1365" s="637"/>
      <c r="I1365" s="637"/>
    </row>
    <row r="1366" spans="1:9" ht="15.75">
      <c r="A1366" s="592"/>
      <c r="B1366" s="411"/>
      <c r="C1366" s="987" t="s">
        <v>377</v>
      </c>
      <c r="D1366" s="485"/>
      <c r="E1366" s="438">
        <v>79119</v>
      </c>
      <c r="F1366" s="802"/>
      <c r="G1366" s="434">
        <f t="shared" si="37"/>
        <v>0</v>
      </c>
      <c r="H1366" s="637"/>
      <c r="I1366" s="637"/>
    </row>
    <row r="1367" spans="1:9" ht="15.75">
      <c r="A1367" s="592"/>
      <c r="B1367" s="411"/>
      <c r="C1367" s="987" t="s">
        <v>378</v>
      </c>
      <c r="D1367" s="485"/>
      <c r="E1367" s="438">
        <v>57671</v>
      </c>
      <c r="F1367" s="802"/>
      <c r="G1367" s="434">
        <f t="shared" si="37"/>
        <v>0</v>
      </c>
      <c r="H1367" s="434"/>
      <c r="I1367" s="637"/>
    </row>
    <row r="1368" spans="1:9" ht="15.75">
      <c r="A1368" s="592"/>
      <c r="B1368" s="411"/>
      <c r="C1368" s="987" t="s">
        <v>444</v>
      </c>
      <c r="D1368" s="485"/>
      <c r="E1368" s="438"/>
      <c r="F1368" s="802"/>
      <c r="G1368" s="434">
        <f t="shared" si="37"/>
        <v>150000</v>
      </c>
      <c r="H1368" s="637">
        <v>150000</v>
      </c>
      <c r="I1368" s="637"/>
    </row>
    <row r="1369" spans="1:9" ht="15.75">
      <c r="A1369" s="592"/>
      <c r="B1369" s="411"/>
      <c r="C1369" s="10" t="s">
        <v>400</v>
      </c>
      <c r="D1369" s="485"/>
      <c r="E1369" s="438"/>
      <c r="F1369" s="802"/>
      <c r="G1369" s="434">
        <f t="shared" si="37"/>
        <v>0</v>
      </c>
      <c r="H1369" s="637"/>
      <c r="I1369" s="637"/>
    </row>
    <row r="1370" spans="1:9" ht="15.75">
      <c r="A1370" s="592"/>
      <c r="B1370" s="411"/>
      <c r="C1370" s="605" t="s">
        <v>379</v>
      </c>
      <c r="D1370" s="485"/>
      <c r="E1370" s="438">
        <v>30000</v>
      </c>
      <c r="F1370" s="802"/>
      <c r="G1370" s="434">
        <f t="shared" si="37"/>
        <v>0</v>
      </c>
      <c r="H1370" s="637"/>
      <c r="I1370" s="637"/>
    </row>
    <row r="1371" spans="1:9" ht="15.75">
      <c r="A1371" s="592"/>
      <c r="B1371" s="411"/>
      <c r="C1371" s="605" t="s">
        <v>683</v>
      </c>
      <c r="D1371" s="485"/>
      <c r="E1371" s="438">
        <v>79991.74</v>
      </c>
      <c r="F1371" s="802"/>
      <c r="G1371" s="434">
        <f t="shared" si="37"/>
        <v>0</v>
      </c>
      <c r="H1371" s="637"/>
      <c r="I1371" s="637"/>
    </row>
    <row r="1372" spans="1:9" ht="15.75">
      <c r="A1372" s="592"/>
      <c r="B1372" s="411"/>
      <c r="C1372" s="605" t="s">
        <v>684</v>
      </c>
      <c r="D1372" s="485"/>
      <c r="E1372" s="438"/>
      <c r="F1372" s="802"/>
      <c r="G1372" s="434"/>
      <c r="H1372" s="637"/>
      <c r="I1372" s="637"/>
    </row>
    <row r="1373" spans="1:9" ht="15.75">
      <c r="A1373" s="592"/>
      <c r="B1373" s="411"/>
      <c r="C1373" s="987" t="s">
        <v>380</v>
      </c>
      <c r="D1373" s="485"/>
      <c r="E1373" s="438">
        <v>92106</v>
      </c>
      <c r="F1373" s="802"/>
      <c r="G1373" s="434">
        <f t="shared" si="37"/>
        <v>150000</v>
      </c>
      <c r="H1373" s="637">
        <v>150000</v>
      </c>
      <c r="I1373" s="637"/>
    </row>
    <row r="1374" spans="1:9" ht="15.75" customHeight="1">
      <c r="A1374" s="592"/>
      <c r="B1374" s="563" t="s">
        <v>359</v>
      </c>
      <c r="C1374" s="10"/>
      <c r="D1374" s="485"/>
      <c r="E1374" s="438"/>
      <c r="F1374" s="802"/>
      <c r="G1374" s="434">
        <f t="shared" si="37"/>
        <v>0</v>
      </c>
      <c r="H1374" s="637"/>
      <c r="I1374" s="637"/>
    </row>
    <row r="1375" spans="1:9" ht="15.75">
      <c r="A1375" s="592"/>
      <c r="B1375" s="411"/>
      <c r="C1375" s="10" t="s">
        <v>124</v>
      </c>
      <c r="D1375" s="485"/>
      <c r="E1375" s="438"/>
      <c r="F1375" s="802"/>
      <c r="G1375" s="434">
        <f t="shared" si="37"/>
        <v>0</v>
      </c>
      <c r="H1375" s="637"/>
      <c r="I1375" s="637"/>
    </row>
    <row r="1376" spans="1:9" ht="15.75">
      <c r="A1376" s="571"/>
      <c r="B1376" s="498"/>
      <c r="C1376" s="983" t="s">
        <v>125</v>
      </c>
      <c r="D1376" s="566"/>
      <c r="E1376" s="599"/>
      <c r="F1376" s="828">
        <v>0</v>
      </c>
      <c r="G1376" s="494">
        <f t="shared" si="37"/>
        <v>100000</v>
      </c>
      <c r="H1376" s="647">
        <v>100000</v>
      </c>
      <c r="I1376" s="647"/>
    </row>
    <row r="1377" spans="1:9" ht="20.25" customHeight="1">
      <c r="A1377" s="574"/>
      <c r="B1377" s="587"/>
      <c r="C1377" s="600"/>
      <c r="D1377" s="601"/>
      <c r="E1377" s="413"/>
      <c r="F1377" s="843"/>
      <c r="G1377" s="413"/>
      <c r="H1377" s="413"/>
      <c r="I1377" s="648"/>
    </row>
    <row r="1378" spans="1:9" ht="15.75">
      <c r="A1378" s="574" t="s">
        <v>681</v>
      </c>
      <c r="B1378" s="587"/>
      <c r="C1378" s="600"/>
      <c r="D1378" s="601"/>
      <c r="E1378" s="413"/>
      <c r="F1378" s="843"/>
      <c r="G1378" s="413"/>
      <c r="H1378" s="413"/>
      <c r="I1378" s="648"/>
    </row>
    <row r="1379" spans="1:9" ht="15.75">
      <c r="A1379" s="574" t="s">
        <v>76</v>
      </c>
      <c r="B1379" s="587"/>
      <c r="C1379" s="600"/>
      <c r="D1379" s="601"/>
      <c r="E1379" s="413"/>
      <c r="F1379" s="843"/>
      <c r="G1379" s="413"/>
      <c r="H1379" s="413"/>
      <c r="I1379" s="648"/>
    </row>
    <row r="1380" spans="1:9" ht="24.75" customHeight="1">
      <c r="A1380" s="572"/>
      <c r="B1380" s="602"/>
      <c r="C1380" s="603"/>
      <c r="D1380" s="604"/>
      <c r="E1380" s="565"/>
      <c r="F1380" s="844"/>
      <c r="G1380" s="565"/>
      <c r="H1380" s="565"/>
      <c r="I1380" s="649"/>
    </row>
    <row r="1381" spans="1:9" ht="15.75">
      <c r="A1381" s="592"/>
      <c r="B1381" s="411"/>
      <c r="C1381" s="10" t="s">
        <v>360</v>
      </c>
      <c r="D1381" s="485"/>
      <c r="E1381" s="438"/>
      <c r="F1381" s="802">
        <v>0</v>
      </c>
      <c r="G1381" s="434">
        <f>H1381-F1381</f>
        <v>50000</v>
      </c>
      <c r="H1381" s="637">
        <v>50000</v>
      </c>
      <c r="I1381" s="637"/>
    </row>
    <row r="1382" spans="1:9" ht="15.75">
      <c r="A1382" s="592"/>
      <c r="B1382" s="411"/>
      <c r="C1382" s="10" t="s">
        <v>247</v>
      </c>
      <c r="D1382" s="485"/>
      <c r="E1382" s="438">
        <v>286052</v>
      </c>
      <c r="F1382" s="802">
        <v>198988.3</v>
      </c>
      <c r="G1382" s="434">
        <f>H1382-F1382</f>
        <v>301011.7</v>
      </c>
      <c r="H1382" s="637">
        <v>500000</v>
      </c>
      <c r="I1382" s="637"/>
    </row>
    <row r="1383" spans="1:9" ht="15.75">
      <c r="A1383" s="592"/>
      <c r="B1383" s="411"/>
      <c r="C1383" s="10" t="s">
        <v>516</v>
      </c>
      <c r="D1383" s="485"/>
      <c r="E1383" s="438"/>
      <c r="F1383" s="802"/>
      <c r="G1383" s="434">
        <f>H1383-F1383</f>
        <v>0</v>
      </c>
      <c r="H1383" s="637"/>
      <c r="I1383" s="637"/>
    </row>
    <row r="1384" spans="1:9" ht="15.75">
      <c r="A1384" s="592"/>
      <c r="B1384" s="411"/>
      <c r="C1384" s="10" t="s">
        <v>517</v>
      </c>
      <c r="D1384" s="485"/>
      <c r="E1384" s="438">
        <v>490096.33</v>
      </c>
      <c r="F1384" s="802"/>
      <c r="G1384" s="434"/>
      <c r="H1384" s="637"/>
      <c r="I1384" s="637"/>
    </row>
    <row r="1385" spans="1:9" ht="15.75">
      <c r="A1385" s="592"/>
      <c r="B1385" s="411"/>
      <c r="C1385" s="10" t="s">
        <v>307</v>
      </c>
      <c r="D1385" s="485"/>
      <c r="E1385" s="438"/>
      <c r="F1385" s="802"/>
      <c r="G1385" s="434">
        <f>H1385-F1385</f>
        <v>0</v>
      </c>
      <c r="H1385" s="637"/>
      <c r="I1385" s="637"/>
    </row>
    <row r="1386" spans="1:9" ht="15.75">
      <c r="A1386" s="592"/>
      <c r="B1386" s="411"/>
      <c r="C1386" s="10" t="s">
        <v>361</v>
      </c>
      <c r="D1386" s="485"/>
      <c r="E1386" s="438">
        <v>270157.25</v>
      </c>
      <c r="F1386" s="802">
        <v>211390</v>
      </c>
      <c r="G1386" s="434">
        <f>H1386-F1386</f>
        <v>388610</v>
      </c>
      <c r="H1386" s="637">
        <v>600000</v>
      </c>
      <c r="I1386" s="637"/>
    </row>
    <row r="1387" spans="1:9" ht="15.75">
      <c r="A1387" s="592"/>
      <c r="B1387" s="411"/>
      <c r="C1387" s="10" t="s">
        <v>518</v>
      </c>
      <c r="D1387" s="485"/>
      <c r="E1387" s="438"/>
      <c r="F1387" s="802"/>
      <c r="G1387" s="434">
        <f>H1387-F1387</f>
        <v>0</v>
      </c>
      <c r="H1387" s="637"/>
      <c r="I1387" s="637"/>
    </row>
    <row r="1388" spans="1:9" ht="15.75">
      <c r="A1388" s="592"/>
      <c r="B1388" s="411"/>
      <c r="C1388" s="10" t="s">
        <v>519</v>
      </c>
      <c r="D1388" s="485"/>
      <c r="E1388" s="438">
        <v>39000</v>
      </c>
      <c r="F1388" s="802"/>
      <c r="G1388" s="434"/>
      <c r="H1388" s="637"/>
      <c r="I1388" s="637"/>
    </row>
    <row r="1389" spans="1:9" ht="15.75">
      <c r="A1389" s="592"/>
      <c r="B1389" s="411"/>
      <c r="C1389" s="10" t="s">
        <v>362</v>
      </c>
      <c r="D1389" s="485"/>
      <c r="E1389" s="438">
        <v>49450</v>
      </c>
      <c r="F1389" s="802">
        <v>14961.1</v>
      </c>
      <c r="G1389" s="434">
        <f>H1389-F1389</f>
        <v>135038.9</v>
      </c>
      <c r="H1389" s="637">
        <v>150000</v>
      </c>
      <c r="I1389" s="637"/>
    </row>
    <row r="1390" spans="1:9" ht="15.75">
      <c r="A1390" s="592"/>
      <c r="B1390" s="411"/>
      <c r="C1390" s="10" t="s">
        <v>363</v>
      </c>
      <c r="D1390" s="485"/>
      <c r="E1390" s="438">
        <v>76280</v>
      </c>
      <c r="F1390" s="802">
        <v>157455</v>
      </c>
      <c r="G1390" s="434">
        <f>H1390-F1390</f>
        <v>142545</v>
      </c>
      <c r="H1390" s="637">
        <v>300000</v>
      </c>
      <c r="I1390" s="637"/>
    </row>
    <row r="1391" spans="1:9" ht="15.75">
      <c r="A1391" s="592"/>
      <c r="B1391" s="411"/>
      <c r="C1391" s="10" t="s">
        <v>398</v>
      </c>
      <c r="D1391" s="485"/>
      <c r="E1391" s="438">
        <v>385643.15</v>
      </c>
      <c r="F1391" s="802">
        <v>426476.1</v>
      </c>
      <c r="G1391" s="434">
        <f>H1391-F1391</f>
        <v>1073523.9</v>
      </c>
      <c r="H1391" s="637">
        <v>1500000</v>
      </c>
      <c r="I1391" s="637"/>
    </row>
    <row r="1392" spans="1:9" ht="15" customHeight="1">
      <c r="A1392" s="592"/>
      <c r="B1392" s="563" t="s">
        <v>568</v>
      </c>
      <c r="C1392" s="10"/>
      <c r="D1392" s="485"/>
      <c r="E1392" s="438"/>
      <c r="F1392" s="802"/>
      <c r="G1392" s="434"/>
      <c r="H1392" s="637"/>
      <c r="I1392" s="637"/>
    </row>
    <row r="1393" spans="1:9" ht="15.75">
      <c r="A1393" s="592"/>
      <c r="B1393" s="411"/>
      <c r="C1393" s="10" t="s">
        <v>569</v>
      </c>
      <c r="D1393" s="485"/>
      <c r="E1393" s="438"/>
      <c r="F1393" s="802"/>
      <c r="G1393" s="434"/>
      <c r="H1393" s="637" t="s">
        <v>246</v>
      </c>
      <c r="I1393" s="637">
        <v>500000</v>
      </c>
    </row>
    <row r="1394" spans="1:9" ht="15.75">
      <c r="A1394" s="592"/>
      <c r="B1394" s="411"/>
      <c r="C1394" s="10" t="s">
        <v>570</v>
      </c>
      <c r="D1394" s="485"/>
      <c r="E1394" s="438"/>
      <c r="F1394" s="802"/>
      <c r="G1394" s="434"/>
      <c r="H1394" s="637"/>
      <c r="I1394" s="637">
        <v>2000000</v>
      </c>
    </row>
    <row r="1395" spans="1:9" ht="15.75">
      <c r="A1395" s="592"/>
      <c r="B1395" s="411"/>
      <c r="C1395" s="10" t="s">
        <v>571</v>
      </c>
      <c r="D1395" s="485"/>
      <c r="E1395" s="438"/>
      <c r="F1395" s="802"/>
      <c r="G1395" s="434"/>
      <c r="H1395" s="637"/>
      <c r="I1395" s="637">
        <v>1600000</v>
      </c>
    </row>
    <row r="1396" spans="1:9" ht="15.75">
      <c r="A1396" s="592"/>
      <c r="B1396" s="411"/>
      <c r="C1396" s="10" t="s">
        <v>572</v>
      </c>
      <c r="D1396" s="485"/>
      <c r="E1396" s="438"/>
      <c r="F1396" s="802"/>
      <c r="G1396" s="434"/>
      <c r="H1396" s="637"/>
      <c r="I1396" s="637">
        <v>100000</v>
      </c>
    </row>
    <row r="1397" spans="1:9" ht="15.75">
      <c r="A1397" s="592"/>
      <c r="B1397" s="411"/>
      <c r="C1397" s="10" t="s">
        <v>573</v>
      </c>
      <c r="D1397" s="485"/>
      <c r="E1397" s="438"/>
      <c r="F1397" s="802"/>
      <c r="G1397" s="434"/>
      <c r="H1397" s="637"/>
      <c r="I1397" s="637">
        <v>1100000</v>
      </c>
    </row>
    <row r="1398" spans="1:9" ht="15.75">
      <c r="A1398" s="592"/>
      <c r="B1398" s="411"/>
      <c r="C1398" s="10" t="s">
        <v>482</v>
      </c>
      <c r="D1398" s="485"/>
      <c r="E1398" s="438"/>
      <c r="F1398" s="802"/>
      <c r="G1398" s="434"/>
      <c r="H1398" s="637"/>
      <c r="I1398" s="637">
        <v>3500000</v>
      </c>
    </row>
    <row r="1399" spans="1:9" ht="15.75">
      <c r="A1399" s="592"/>
      <c r="B1399" s="411"/>
      <c r="C1399" s="10" t="s">
        <v>574</v>
      </c>
      <c r="D1399" s="485"/>
      <c r="E1399" s="438"/>
      <c r="F1399" s="802"/>
      <c r="G1399" s="434"/>
      <c r="H1399" s="637"/>
      <c r="I1399" s="637">
        <v>50000</v>
      </c>
    </row>
    <row r="1400" spans="1:9" ht="15.75">
      <c r="A1400" s="592"/>
      <c r="B1400" s="411"/>
      <c r="C1400" s="10" t="s">
        <v>575</v>
      </c>
      <c r="D1400" s="485"/>
      <c r="E1400" s="438"/>
      <c r="F1400" s="802"/>
      <c r="G1400" s="434"/>
      <c r="H1400" s="637"/>
      <c r="I1400" s="637">
        <v>50000</v>
      </c>
    </row>
    <row r="1401" spans="1:9" ht="15.75">
      <c r="A1401" s="592"/>
      <c r="B1401" s="411"/>
      <c r="C1401" s="10" t="s">
        <v>576</v>
      </c>
      <c r="D1401" s="485"/>
      <c r="E1401" s="438"/>
      <c r="F1401" s="802"/>
      <c r="G1401" s="434"/>
      <c r="H1401" s="637"/>
      <c r="I1401" s="637">
        <v>50000</v>
      </c>
    </row>
    <row r="1402" spans="1:9" ht="15" customHeight="1">
      <c r="A1402" s="592"/>
      <c r="B1402" s="563" t="s">
        <v>577</v>
      </c>
      <c r="C1402" s="455"/>
      <c r="D1402" s="608"/>
      <c r="E1402" s="438"/>
      <c r="F1402" s="802"/>
      <c r="G1402" s="434"/>
      <c r="H1402" s="637"/>
      <c r="I1402" s="637"/>
    </row>
    <row r="1403" spans="1:9" ht="15.75">
      <c r="A1403" s="592"/>
      <c r="B1403" s="411"/>
      <c r="C1403" s="10" t="s">
        <v>578</v>
      </c>
      <c r="D1403" s="485"/>
      <c r="E1403" s="438"/>
      <c r="F1403" s="802"/>
      <c r="G1403" s="434"/>
      <c r="H1403" s="637"/>
      <c r="I1403" s="637">
        <v>200000</v>
      </c>
    </row>
    <row r="1404" spans="1:9" ht="15.75">
      <c r="A1404" s="592"/>
      <c r="B1404" s="411"/>
      <c r="C1404" s="10" t="s">
        <v>579</v>
      </c>
      <c r="D1404" s="485"/>
      <c r="E1404" s="438"/>
      <c r="F1404" s="802"/>
      <c r="G1404" s="434"/>
      <c r="H1404" s="637"/>
      <c r="I1404" s="637">
        <v>1800000</v>
      </c>
    </row>
    <row r="1405" spans="1:9" ht="15.75">
      <c r="A1405" s="592"/>
      <c r="B1405" s="411"/>
      <c r="C1405" s="10" t="s">
        <v>580</v>
      </c>
      <c r="D1405" s="485"/>
      <c r="E1405" s="438"/>
      <c r="F1405" s="802"/>
      <c r="G1405" s="434"/>
      <c r="H1405" s="637"/>
      <c r="I1405" s="637">
        <v>400000</v>
      </c>
    </row>
    <row r="1406" spans="1:9" ht="15.75">
      <c r="A1406" s="592"/>
      <c r="B1406" s="411"/>
      <c r="C1406" s="10" t="s">
        <v>366</v>
      </c>
      <c r="D1406" s="485"/>
      <c r="E1406" s="438"/>
      <c r="F1406" s="802"/>
      <c r="G1406" s="434"/>
      <c r="H1406" s="637"/>
      <c r="I1406" s="637">
        <v>100000</v>
      </c>
    </row>
    <row r="1407" spans="1:9" ht="15.75">
      <c r="A1407" s="592"/>
      <c r="B1407" s="411"/>
      <c r="C1407" s="10" t="s">
        <v>581</v>
      </c>
      <c r="D1407" s="485"/>
      <c r="E1407" s="438"/>
      <c r="F1407" s="802"/>
      <c r="G1407" s="434"/>
      <c r="H1407" s="637"/>
      <c r="I1407" s="637">
        <v>50000</v>
      </c>
    </row>
    <row r="1408" spans="1:9" ht="15.75">
      <c r="A1408" s="592"/>
      <c r="B1408" s="411"/>
      <c r="C1408" s="10" t="s">
        <v>582</v>
      </c>
      <c r="D1408" s="485"/>
      <c r="E1408" s="438"/>
      <c r="F1408" s="802"/>
      <c r="G1408" s="434"/>
      <c r="H1408" s="637"/>
      <c r="I1408" s="637">
        <v>100000</v>
      </c>
    </row>
    <row r="1409" spans="1:9" ht="15.75">
      <c r="A1409" s="592"/>
      <c r="B1409" s="411"/>
      <c r="C1409" s="10" t="s">
        <v>583</v>
      </c>
      <c r="D1409" s="485"/>
      <c r="E1409" s="438"/>
      <c r="F1409" s="802"/>
      <c r="G1409" s="434"/>
      <c r="H1409" s="637"/>
      <c r="I1409" s="637">
        <v>100000</v>
      </c>
    </row>
    <row r="1410" spans="1:9" ht="15" customHeight="1">
      <c r="A1410" s="592"/>
      <c r="B1410" s="563" t="s">
        <v>584</v>
      </c>
      <c r="C1410" s="455"/>
      <c r="D1410" s="608"/>
      <c r="E1410" s="438"/>
      <c r="F1410" s="802"/>
      <c r="G1410" s="434"/>
      <c r="H1410" s="637"/>
      <c r="I1410" s="637"/>
    </row>
    <row r="1411" spans="1:9" ht="15" customHeight="1">
      <c r="A1411" s="592"/>
      <c r="B1411" s="411"/>
      <c r="C1411" s="10" t="s">
        <v>585</v>
      </c>
      <c r="D1411" s="485"/>
      <c r="E1411" s="438"/>
      <c r="F1411" s="802"/>
      <c r="G1411" s="434"/>
      <c r="H1411" s="637"/>
      <c r="I1411" s="637">
        <v>500000</v>
      </c>
    </row>
    <row r="1412" spans="1:9" ht="15.75">
      <c r="A1412" s="592"/>
      <c r="B1412" s="411"/>
      <c r="C1412" s="10" t="s">
        <v>586</v>
      </c>
      <c r="D1412" s="485"/>
      <c r="E1412" s="438"/>
      <c r="F1412" s="802"/>
      <c r="G1412" s="434"/>
      <c r="H1412" s="637"/>
      <c r="I1412" s="637">
        <v>1400000</v>
      </c>
    </row>
    <row r="1413" spans="1:9" ht="15.75">
      <c r="A1413" s="592"/>
      <c r="B1413" s="411"/>
      <c r="C1413" s="10" t="s">
        <v>587</v>
      </c>
      <c r="D1413" s="485"/>
      <c r="E1413" s="438"/>
      <c r="F1413" s="802"/>
      <c r="G1413" s="434"/>
      <c r="H1413" s="637"/>
      <c r="I1413" s="637">
        <v>800000</v>
      </c>
    </row>
    <row r="1414" spans="1:9" ht="15.75">
      <c r="A1414" s="592"/>
      <c r="B1414" s="411"/>
      <c r="C1414" s="10" t="s">
        <v>588</v>
      </c>
      <c r="D1414" s="485"/>
      <c r="E1414" s="438"/>
      <c r="F1414" s="802"/>
      <c r="G1414" s="434"/>
      <c r="H1414" s="637"/>
      <c r="I1414" s="637">
        <v>50000</v>
      </c>
    </row>
    <row r="1415" spans="1:9" ht="15.75">
      <c r="A1415" s="592"/>
      <c r="B1415" s="411"/>
      <c r="C1415" s="10" t="s">
        <v>589</v>
      </c>
      <c r="D1415" s="485"/>
      <c r="E1415" s="438"/>
      <c r="F1415" s="802"/>
      <c r="G1415" s="434"/>
      <c r="H1415" s="637"/>
      <c r="I1415" s="637">
        <v>300000</v>
      </c>
    </row>
    <row r="1416" spans="1:9" ht="15.75">
      <c r="A1416" s="592"/>
      <c r="B1416" s="411"/>
      <c r="C1416" s="10" t="s">
        <v>590</v>
      </c>
      <c r="D1416" s="485"/>
      <c r="E1416" s="438"/>
      <c r="F1416" s="802"/>
      <c r="G1416" s="434"/>
      <c r="H1416" s="637"/>
      <c r="I1416" s="637">
        <v>100000</v>
      </c>
    </row>
    <row r="1417" spans="1:9" ht="15.75">
      <c r="A1417" s="592"/>
      <c r="B1417" s="411"/>
      <c r="C1417" s="10" t="s">
        <v>591</v>
      </c>
      <c r="D1417" s="485"/>
      <c r="E1417" s="438"/>
      <c r="F1417" s="802"/>
      <c r="G1417" s="434"/>
      <c r="H1417" s="637"/>
      <c r="I1417" s="637">
        <v>50000</v>
      </c>
    </row>
    <row r="1418" spans="1:9" ht="15.75">
      <c r="A1418" s="592"/>
      <c r="B1418" s="411"/>
      <c r="C1418" s="10" t="s">
        <v>592</v>
      </c>
      <c r="D1418" s="485"/>
      <c r="E1418" s="438"/>
      <c r="F1418" s="802"/>
      <c r="G1418" s="434"/>
      <c r="H1418" s="637"/>
      <c r="I1418" s="637">
        <v>400000</v>
      </c>
    </row>
    <row r="1419" spans="1:9" ht="15.75">
      <c r="A1419" s="592"/>
      <c r="B1419" s="411"/>
      <c r="C1419" s="10" t="s">
        <v>593</v>
      </c>
      <c r="D1419" s="485"/>
      <c r="E1419" s="438"/>
      <c r="F1419" s="802"/>
      <c r="G1419" s="434"/>
      <c r="H1419" s="637"/>
      <c r="I1419" s="637">
        <v>50000</v>
      </c>
    </row>
    <row r="1420" spans="1:9" ht="15" customHeight="1">
      <c r="A1420" s="592"/>
      <c r="B1420" s="563" t="s">
        <v>594</v>
      </c>
      <c r="C1420" s="455"/>
      <c r="D1420" s="608"/>
      <c r="E1420" s="438"/>
      <c r="F1420" s="802"/>
      <c r="G1420" s="434"/>
      <c r="H1420" s="637"/>
      <c r="I1420" s="637"/>
    </row>
    <row r="1421" spans="1:9" ht="15.75">
      <c r="A1421" s="592"/>
      <c r="B1421" s="411"/>
      <c r="C1421" s="10" t="s">
        <v>595</v>
      </c>
      <c r="D1421" s="485"/>
      <c r="E1421" s="438"/>
      <c r="F1421" s="802"/>
      <c r="G1421" s="434"/>
      <c r="H1421" s="637"/>
      <c r="I1421" s="637">
        <v>400000</v>
      </c>
    </row>
    <row r="1422" spans="1:9" ht="15.75">
      <c r="A1422" s="592"/>
      <c r="B1422" s="411"/>
      <c r="C1422" s="10" t="s">
        <v>596</v>
      </c>
      <c r="D1422" s="485"/>
      <c r="E1422" s="438"/>
      <c r="F1422" s="802"/>
      <c r="G1422" s="434"/>
      <c r="H1422" s="637"/>
      <c r="I1422" s="637">
        <v>180000</v>
      </c>
    </row>
    <row r="1423" spans="1:9" ht="15.75">
      <c r="A1423" s="592"/>
      <c r="B1423" s="411"/>
      <c r="C1423" s="10" t="s">
        <v>597</v>
      </c>
      <c r="D1423" s="485"/>
      <c r="E1423" s="438"/>
      <c r="F1423" s="802"/>
      <c r="G1423" s="434"/>
      <c r="H1423" s="637"/>
      <c r="I1423" s="637">
        <v>200000</v>
      </c>
    </row>
    <row r="1424" spans="1:9" ht="15.75">
      <c r="A1424" s="592"/>
      <c r="B1424" s="411"/>
      <c r="C1424" s="10" t="s">
        <v>598</v>
      </c>
      <c r="D1424" s="485"/>
      <c r="E1424" s="438"/>
      <c r="F1424" s="802"/>
      <c r="G1424" s="434"/>
      <c r="H1424" s="637"/>
      <c r="I1424" s="637">
        <v>50000</v>
      </c>
    </row>
    <row r="1425" spans="1:9" ht="15.75">
      <c r="A1425" s="592"/>
      <c r="B1425" s="411"/>
      <c r="C1425" s="10" t="s">
        <v>599</v>
      </c>
      <c r="D1425" s="485"/>
      <c r="E1425" s="438"/>
      <c r="F1425" s="802"/>
      <c r="G1425" s="434"/>
      <c r="H1425" s="637"/>
      <c r="I1425" s="637">
        <v>80000</v>
      </c>
    </row>
    <row r="1426" spans="1:9" ht="15.75">
      <c r="A1426" s="592"/>
      <c r="B1426" s="411"/>
      <c r="C1426" s="10" t="s">
        <v>600</v>
      </c>
      <c r="D1426" s="485"/>
      <c r="E1426" s="438"/>
      <c r="F1426" s="802"/>
      <c r="G1426" s="434"/>
      <c r="H1426" s="637"/>
      <c r="I1426" s="637">
        <v>140000</v>
      </c>
    </row>
    <row r="1427" spans="1:9" ht="15.75">
      <c r="A1427" s="592"/>
      <c r="B1427" s="411"/>
      <c r="C1427" s="10" t="s">
        <v>601</v>
      </c>
      <c r="D1427" s="485"/>
      <c r="E1427" s="438"/>
      <c r="F1427" s="802"/>
      <c r="G1427" s="434"/>
      <c r="H1427" s="637"/>
      <c r="I1427" s="637">
        <v>100000</v>
      </c>
    </row>
    <row r="1428" spans="1:9" ht="15.75">
      <c r="A1428" s="592"/>
      <c r="B1428" s="411"/>
      <c r="C1428" s="10" t="s">
        <v>602</v>
      </c>
      <c r="D1428" s="485"/>
      <c r="E1428" s="438"/>
      <c r="F1428" s="802"/>
      <c r="G1428" s="434"/>
      <c r="H1428" s="637"/>
      <c r="I1428" s="637">
        <v>3000000</v>
      </c>
    </row>
    <row r="1429" spans="1:9" ht="15.75">
      <c r="A1429" s="592"/>
      <c r="B1429" s="411"/>
      <c r="C1429" s="10" t="s">
        <v>603</v>
      </c>
      <c r="D1429" s="485"/>
      <c r="E1429" s="438"/>
      <c r="F1429" s="802"/>
      <c r="G1429" s="434"/>
      <c r="H1429" s="637"/>
      <c r="I1429" s="637">
        <v>500000</v>
      </c>
    </row>
    <row r="1430" spans="1:9" ht="15" customHeight="1">
      <c r="A1430" s="592"/>
      <c r="B1430" s="563" t="s">
        <v>604</v>
      </c>
      <c r="C1430" s="10"/>
      <c r="D1430" s="485"/>
      <c r="E1430" s="438"/>
      <c r="F1430" s="802"/>
      <c r="G1430" s="434"/>
      <c r="H1430" s="637"/>
      <c r="I1430" s="637"/>
    </row>
    <row r="1431" spans="1:9" ht="15.75">
      <c r="A1431" s="592"/>
      <c r="B1431" s="411"/>
      <c r="C1431" s="10" t="s">
        <v>605</v>
      </c>
      <c r="D1431" s="485"/>
      <c r="E1431" s="438"/>
      <c r="F1431" s="802"/>
      <c r="G1431" s="434"/>
      <c r="H1431" s="637"/>
      <c r="I1431" s="637">
        <v>100000</v>
      </c>
    </row>
    <row r="1432" spans="1:9" ht="15.75">
      <c r="A1432" s="592"/>
      <c r="B1432" s="411"/>
      <c r="C1432" s="10" t="s">
        <v>606</v>
      </c>
      <c r="D1432" s="485"/>
      <c r="E1432" s="438"/>
      <c r="F1432" s="802"/>
      <c r="G1432" s="434"/>
      <c r="H1432" s="637"/>
      <c r="I1432" s="637">
        <v>100000</v>
      </c>
    </row>
    <row r="1433" spans="1:9" ht="15.75">
      <c r="A1433" s="592"/>
      <c r="B1433" s="411"/>
      <c r="C1433" s="10" t="s">
        <v>607</v>
      </c>
      <c r="D1433" s="485"/>
      <c r="E1433" s="438"/>
      <c r="F1433" s="802"/>
      <c r="G1433" s="434"/>
      <c r="H1433" s="637"/>
      <c r="I1433" s="637">
        <v>50000</v>
      </c>
    </row>
    <row r="1434" spans="1:9" ht="15.75">
      <c r="A1434" s="592"/>
      <c r="B1434" s="563" t="s">
        <v>608</v>
      </c>
      <c r="C1434" s="10"/>
      <c r="D1434" s="485"/>
      <c r="E1434" s="438"/>
      <c r="F1434" s="802"/>
      <c r="G1434" s="434"/>
      <c r="H1434" s="637"/>
      <c r="I1434" s="637"/>
    </row>
    <row r="1435" spans="1:9" ht="15.75">
      <c r="A1435" s="592"/>
      <c r="B1435" s="411"/>
      <c r="C1435" s="10" t="s">
        <v>611</v>
      </c>
      <c r="D1435" s="485"/>
      <c r="E1435" s="438"/>
      <c r="F1435" s="802"/>
      <c r="G1435" s="434"/>
      <c r="H1435" s="637"/>
      <c r="I1435" s="637"/>
    </row>
    <row r="1436" spans="1:9" ht="15.75">
      <c r="A1436" s="592"/>
      <c r="B1436" s="411"/>
      <c r="C1436" s="10" t="s">
        <v>612</v>
      </c>
      <c r="D1436" s="485"/>
      <c r="E1436" s="438"/>
      <c r="F1436" s="802"/>
      <c r="G1436" s="434"/>
      <c r="H1436" s="637"/>
      <c r="I1436" s="637">
        <v>100000</v>
      </c>
    </row>
    <row r="1437" spans="1:9" ht="15" customHeight="1">
      <c r="A1437" s="592"/>
      <c r="B1437" s="411"/>
      <c r="C1437" s="10" t="s">
        <v>609</v>
      </c>
      <c r="D1437" s="485"/>
      <c r="E1437" s="438"/>
      <c r="F1437" s="802"/>
      <c r="G1437" s="434"/>
      <c r="H1437" s="637"/>
      <c r="I1437" s="637"/>
    </row>
    <row r="1438" spans="1:9" ht="15.75">
      <c r="A1438" s="592"/>
      <c r="B1438" s="411"/>
      <c r="C1438" s="10" t="s">
        <v>610</v>
      </c>
      <c r="D1438" s="485"/>
      <c r="E1438" s="438"/>
      <c r="F1438" s="802"/>
      <c r="G1438" s="434"/>
      <c r="H1438" s="637"/>
      <c r="I1438" s="637">
        <v>100000</v>
      </c>
    </row>
    <row r="1439" spans="1:11" s="2" customFormat="1" ht="15.75">
      <c r="A1439" s="414" t="s">
        <v>127</v>
      </c>
      <c r="B1439" s="606"/>
      <c r="C1439" s="606"/>
      <c r="D1439" s="584"/>
      <c r="E1439" s="436">
        <f>E1440+E1441+E1442+E1443+E1444+E1446+E1447+E1450+E1451+E1452+E1453+E1454+E1456+E1457+E1458+E1459+E1460+E1461+E1462+E1463+E1464+E1465+E1466+E1471+E1472+E1473+E1475+E1476+E1477+E1478</f>
        <v>10398387.97</v>
      </c>
      <c r="F1439" s="636">
        <f>F1441+F1442+F1448+F1449+F1450+F1476+F1484+F1486</f>
        <v>2032315.3599999999</v>
      </c>
      <c r="G1439" s="636">
        <f>H1439-F1439</f>
        <v>11327975.24</v>
      </c>
      <c r="H1439" s="636">
        <f>H1441+H1442+H1443+H1444+H1448+H1449+H1450+H1452+H1453+H1455+H1461+H1476+H1481+H1484+H1485+H1486</f>
        <v>13360290.6</v>
      </c>
      <c r="I1439" s="636">
        <f>I1440+I1441+I1442+I1443+I1444+I1445+I1448+I1450+I1451+I1452+I1453+I1455+I1456+I1458+I1460+I1461+I1465+I1466+I1471+I1473+I1474+I1475+I1478+I1479+I1480+I1481+I1482+I1483+I1484+I1487+I1489+I1490+I1491+I1492+I1488</f>
        <v>14200000</v>
      </c>
      <c r="J1439" s="782" t="e">
        <f>#REF!-I1439</f>
        <v>#REF!</v>
      </c>
      <c r="K1439" s="782"/>
    </row>
    <row r="1440" spans="1:11" ht="15.75">
      <c r="A1440" s="592"/>
      <c r="B1440" s="411" t="s">
        <v>314</v>
      </c>
      <c r="C1440" s="411"/>
      <c r="D1440" s="488"/>
      <c r="E1440" s="508">
        <v>326093.6</v>
      </c>
      <c r="F1440" s="637"/>
      <c r="G1440" s="434"/>
      <c r="H1440" s="637"/>
      <c r="I1440" s="637">
        <f>500000+50000</f>
        <v>550000</v>
      </c>
      <c r="J1440" s="777">
        <v>1</v>
      </c>
      <c r="K1440" s="777" t="s">
        <v>525</v>
      </c>
    </row>
    <row r="1441" spans="1:11" ht="15.75">
      <c r="A1441" s="592"/>
      <c r="B1441" s="411" t="s">
        <v>128</v>
      </c>
      <c r="C1441" s="411"/>
      <c r="D1441" s="488"/>
      <c r="E1441" s="413">
        <v>52584.45</v>
      </c>
      <c r="F1441" s="637">
        <v>4000</v>
      </c>
      <c r="G1441" s="434">
        <f aca="true" t="shared" si="38" ref="G1441:G1466">H1441-F1441</f>
        <v>96000</v>
      </c>
      <c r="H1441" s="637">
        <v>100000</v>
      </c>
      <c r="I1441" s="637">
        <v>100000</v>
      </c>
      <c r="J1441" s="777">
        <v>2</v>
      </c>
      <c r="K1441" s="777" t="s">
        <v>526</v>
      </c>
    </row>
    <row r="1442" spans="1:11" ht="15.75">
      <c r="A1442" s="592"/>
      <c r="B1442" s="411" t="s">
        <v>129</v>
      </c>
      <c r="C1442" s="411"/>
      <c r="D1442" s="488"/>
      <c r="E1442" s="413">
        <v>200000</v>
      </c>
      <c r="F1442" s="637">
        <v>150000</v>
      </c>
      <c r="G1442" s="434">
        <f t="shared" si="38"/>
        <v>150000</v>
      </c>
      <c r="H1442" s="637">
        <v>300000</v>
      </c>
      <c r="I1442" s="637">
        <v>400000</v>
      </c>
      <c r="J1442" s="777">
        <v>3</v>
      </c>
      <c r="K1442" s="777" t="s">
        <v>527</v>
      </c>
    </row>
    <row r="1443" spans="1:11" ht="15.75">
      <c r="A1443" s="592"/>
      <c r="B1443" s="411" t="s">
        <v>130</v>
      </c>
      <c r="C1443" s="411"/>
      <c r="D1443" s="488"/>
      <c r="E1443" s="438">
        <v>500000</v>
      </c>
      <c r="F1443" s="637"/>
      <c r="G1443" s="434">
        <f t="shared" si="38"/>
        <v>500000</v>
      </c>
      <c r="H1443" s="637">
        <v>500000</v>
      </c>
      <c r="I1443" s="637">
        <v>500000</v>
      </c>
      <c r="J1443" s="777">
        <v>4</v>
      </c>
      <c r="K1443" s="777" t="s">
        <v>528</v>
      </c>
    </row>
    <row r="1444" spans="1:11" ht="15.75">
      <c r="A1444" s="592"/>
      <c r="B1444" s="411" t="s">
        <v>298</v>
      </c>
      <c r="C1444" s="411"/>
      <c r="D1444" s="488"/>
      <c r="E1444" s="434">
        <v>466950</v>
      </c>
      <c r="F1444" s="651"/>
      <c r="G1444" s="434">
        <f t="shared" si="38"/>
        <v>50000</v>
      </c>
      <c r="H1444" s="637">
        <v>50000</v>
      </c>
      <c r="I1444" s="637">
        <f>50000+300000+50000+100000+100000+50000</f>
        <v>650000</v>
      </c>
      <c r="J1444" s="777">
        <v>5</v>
      </c>
      <c r="K1444" s="777" t="s">
        <v>529</v>
      </c>
    </row>
    <row r="1445" spans="1:11" ht="15.75">
      <c r="A1445" s="592"/>
      <c r="B1445" s="411" t="s">
        <v>131</v>
      </c>
      <c r="C1445" s="411"/>
      <c r="D1445" s="488"/>
      <c r="E1445" s="434"/>
      <c r="F1445" s="651"/>
      <c r="G1445" s="434">
        <f t="shared" si="38"/>
        <v>0</v>
      </c>
      <c r="H1445" s="637"/>
      <c r="I1445" s="637">
        <v>1382000</v>
      </c>
      <c r="J1445" s="777">
        <v>6</v>
      </c>
      <c r="K1445" s="777" t="s">
        <v>530</v>
      </c>
    </row>
    <row r="1446" spans="1:9" ht="15.75">
      <c r="A1446" s="592"/>
      <c r="B1446" s="411" t="s">
        <v>132</v>
      </c>
      <c r="C1446" s="411"/>
      <c r="D1446" s="488"/>
      <c r="E1446" s="434">
        <v>315106</v>
      </c>
      <c r="F1446" s="651"/>
      <c r="G1446" s="434">
        <f t="shared" si="38"/>
        <v>0</v>
      </c>
      <c r="H1446" s="637"/>
      <c r="I1446" s="637"/>
    </row>
    <row r="1447" spans="1:9" ht="15.75">
      <c r="A1447" s="592"/>
      <c r="B1447" s="411" t="s">
        <v>297</v>
      </c>
      <c r="C1447" s="493"/>
      <c r="D1447" s="488"/>
      <c r="E1447" s="434">
        <v>241570</v>
      </c>
      <c r="F1447" s="651"/>
      <c r="G1447" s="434">
        <f t="shared" si="38"/>
        <v>0</v>
      </c>
      <c r="H1447" s="637"/>
      <c r="I1447" s="637"/>
    </row>
    <row r="1448" spans="1:11" ht="15.75">
      <c r="A1448" s="592"/>
      <c r="B1448" s="611" t="s">
        <v>288</v>
      </c>
      <c r="C1448" s="588"/>
      <c r="D1448" s="488"/>
      <c r="E1448" s="434"/>
      <c r="F1448" s="642">
        <v>448856.61</v>
      </c>
      <c r="G1448" s="434">
        <f t="shared" si="38"/>
        <v>151143.39</v>
      </c>
      <c r="H1448" s="637">
        <v>600000</v>
      </c>
      <c r="I1448" s="637">
        <v>2000000</v>
      </c>
      <c r="J1448" s="777">
        <v>7</v>
      </c>
      <c r="K1448" s="783" t="s">
        <v>531</v>
      </c>
    </row>
    <row r="1449" spans="1:9" ht="15.75">
      <c r="A1449" s="592"/>
      <c r="B1449" s="611" t="s">
        <v>482</v>
      </c>
      <c r="C1449" s="588"/>
      <c r="D1449" s="488"/>
      <c r="E1449" s="519"/>
      <c r="F1449" s="642">
        <v>260979.75</v>
      </c>
      <c r="G1449" s="434">
        <f t="shared" si="38"/>
        <v>0</v>
      </c>
      <c r="H1449" s="637">
        <v>260979.75</v>
      </c>
      <c r="I1449" s="637"/>
    </row>
    <row r="1450" spans="1:11" ht="15.75">
      <c r="A1450" s="592"/>
      <c r="B1450" s="611" t="s">
        <v>289</v>
      </c>
      <c r="C1450" s="588"/>
      <c r="D1450" s="488"/>
      <c r="E1450" s="519">
        <v>499600</v>
      </c>
      <c r="F1450" s="642">
        <v>12069</v>
      </c>
      <c r="G1450" s="434">
        <f t="shared" si="38"/>
        <v>0</v>
      </c>
      <c r="H1450" s="637">
        <v>12069</v>
      </c>
      <c r="I1450" s="637">
        <v>500000</v>
      </c>
      <c r="J1450" s="777">
        <v>8</v>
      </c>
      <c r="K1450" s="777" t="s">
        <v>532</v>
      </c>
    </row>
    <row r="1451" spans="1:11" ht="15.75">
      <c r="A1451" s="592"/>
      <c r="B1451" s="611" t="s">
        <v>399</v>
      </c>
      <c r="C1451" s="588"/>
      <c r="D1451" s="488"/>
      <c r="E1451" s="519">
        <v>275260.88</v>
      </c>
      <c r="F1451" s="642"/>
      <c r="G1451" s="434">
        <f t="shared" si="38"/>
        <v>0</v>
      </c>
      <c r="H1451" s="637"/>
      <c r="I1451" s="637">
        <f>100000+100000+28000</f>
        <v>228000</v>
      </c>
      <c r="J1451" s="777">
        <v>9</v>
      </c>
      <c r="K1451" s="777" t="s">
        <v>533</v>
      </c>
    </row>
    <row r="1452" spans="1:11" ht="15.75">
      <c r="A1452" s="592"/>
      <c r="B1452" s="611" t="s">
        <v>290</v>
      </c>
      <c r="C1452" s="588"/>
      <c r="D1452" s="488"/>
      <c r="E1452" s="519">
        <v>39600</v>
      </c>
      <c r="F1452" s="642"/>
      <c r="G1452" s="434">
        <f t="shared" si="38"/>
        <v>150000</v>
      </c>
      <c r="H1452" s="637">
        <f>150000</f>
        <v>150000</v>
      </c>
      <c r="I1452" s="637">
        <f>300000+100000</f>
        <v>400000</v>
      </c>
      <c r="J1452" s="777">
        <v>10</v>
      </c>
      <c r="K1452" s="777" t="s">
        <v>534</v>
      </c>
    </row>
    <row r="1453" spans="1:11" ht="15.75">
      <c r="A1453" s="592"/>
      <c r="B1453" s="611" t="s">
        <v>299</v>
      </c>
      <c r="C1453" s="588"/>
      <c r="D1453" s="488"/>
      <c r="E1453" s="519">
        <v>500000</v>
      </c>
      <c r="F1453" s="642"/>
      <c r="G1453" s="434">
        <f t="shared" si="38"/>
        <v>0</v>
      </c>
      <c r="H1453" s="637"/>
      <c r="I1453" s="637">
        <v>300000</v>
      </c>
      <c r="J1453" s="777">
        <v>11</v>
      </c>
      <c r="K1453" s="777" t="s">
        <v>535</v>
      </c>
    </row>
    <row r="1454" spans="1:11" s="9" customFormat="1" ht="15.75">
      <c r="A1454" s="592"/>
      <c r="B1454" s="611" t="s">
        <v>296</v>
      </c>
      <c r="C1454" s="629"/>
      <c r="D1454" s="488"/>
      <c r="E1454" s="519">
        <v>945366.75</v>
      </c>
      <c r="F1454" s="642"/>
      <c r="G1454" s="434">
        <f t="shared" si="38"/>
        <v>0</v>
      </c>
      <c r="H1454" s="637"/>
      <c r="I1454" s="637"/>
      <c r="J1454" s="783"/>
      <c r="K1454" s="783"/>
    </row>
    <row r="1455" spans="1:11" ht="15.75">
      <c r="A1455" s="592"/>
      <c r="B1455" s="611" t="s">
        <v>292</v>
      </c>
      <c r="C1455" s="588"/>
      <c r="D1455" s="488"/>
      <c r="E1455" s="519"/>
      <c r="F1455" s="642"/>
      <c r="G1455" s="434">
        <f t="shared" si="38"/>
        <v>2200000</v>
      </c>
      <c r="H1455" s="637">
        <v>2200000</v>
      </c>
      <c r="I1455" s="637">
        <f>2000000+600000</f>
        <v>2600000</v>
      </c>
      <c r="J1455" s="777">
        <v>12</v>
      </c>
      <c r="K1455" s="777" t="s">
        <v>536</v>
      </c>
    </row>
    <row r="1456" spans="1:11" ht="15.75">
      <c r="A1456" s="592"/>
      <c r="B1456" s="611" t="s">
        <v>329</v>
      </c>
      <c r="C1456" s="588"/>
      <c r="D1456" s="488"/>
      <c r="E1456" s="519">
        <v>186585</v>
      </c>
      <c r="F1456" s="642"/>
      <c r="G1456" s="434">
        <f t="shared" si="38"/>
        <v>0</v>
      </c>
      <c r="H1456" s="637"/>
      <c r="I1456" s="637">
        <v>100000</v>
      </c>
      <c r="J1456" s="777">
        <v>13</v>
      </c>
      <c r="K1456" s="777" t="s">
        <v>537</v>
      </c>
    </row>
    <row r="1457" spans="1:9" ht="15.75">
      <c r="A1457" s="592"/>
      <c r="B1457" s="630" t="s">
        <v>409</v>
      </c>
      <c r="C1457" s="588"/>
      <c r="D1457" s="488"/>
      <c r="E1457" s="519">
        <v>1184472.96</v>
      </c>
      <c r="F1457" s="642"/>
      <c r="G1457" s="434">
        <f t="shared" si="38"/>
        <v>0</v>
      </c>
      <c r="H1457" s="637"/>
      <c r="I1457" s="637"/>
    </row>
    <row r="1458" spans="1:11" ht="15.75">
      <c r="A1458" s="592"/>
      <c r="B1458" s="611" t="s">
        <v>511</v>
      </c>
      <c r="C1458" s="588"/>
      <c r="D1458" s="488"/>
      <c r="E1458" s="519">
        <v>777358</v>
      </c>
      <c r="F1458" s="642"/>
      <c r="G1458" s="434">
        <f t="shared" si="38"/>
        <v>0</v>
      </c>
      <c r="H1458" s="637"/>
      <c r="I1458" s="637">
        <f>60000+1000000+100000</f>
        <v>1160000</v>
      </c>
      <c r="J1458" s="777">
        <v>14</v>
      </c>
      <c r="K1458" s="777" t="s">
        <v>538</v>
      </c>
    </row>
    <row r="1459" spans="1:9" ht="15.75">
      <c r="A1459" s="592"/>
      <c r="B1459" s="611" t="s">
        <v>330</v>
      </c>
      <c r="C1459" s="588"/>
      <c r="D1459" s="488"/>
      <c r="E1459" s="519">
        <v>228840</v>
      </c>
      <c r="F1459" s="642"/>
      <c r="G1459" s="434">
        <f t="shared" si="38"/>
        <v>0</v>
      </c>
      <c r="H1459" s="637"/>
      <c r="I1459" s="637"/>
    </row>
    <row r="1460" spans="1:11" ht="15.75">
      <c r="A1460" s="592"/>
      <c r="B1460" s="611" t="s">
        <v>331</v>
      </c>
      <c r="C1460" s="588"/>
      <c r="D1460" s="488"/>
      <c r="E1460" s="519">
        <v>89765</v>
      </c>
      <c r="F1460" s="642"/>
      <c r="G1460" s="434">
        <f t="shared" si="38"/>
        <v>0</v>
      </c>
      <c r="H1460" s="637"/>
      <c r="I1460" s="637">
        <v>30000</v>
      </c>
      <c r="J1460" s="777">
        <v>15</v>
      </c>
      <c r="K1460" s="777" t="s">
        <v>539</v>
      </c>
    </row>
    <row r="1461" spans="1:11" ht="15.75">
      <c r="A1461" s="592"/>
      <c r="B1461" s="611" t="s">
        <v>336</v>
      </c>
      <c r="C1461" s="588"/>
      <c r="D1461" s="488"/>
      <c r="E1461" s="519">
        <v>99980.85</v>
      </c>
      <c r="F1461" s="642"/>
      <c r="G1461" s="434">
        <f t="shared" si="38"/>
        <v>70000</v>
      </c>
      <c r="H1461" s="637">
        <v>70000</v>
      </c>
      <c r="I1461" s="637">
        <f>100000+100000</f>
        <v>200000</v>
      </c>
      <c r="J1461" s="777">
        <v>16</v>
      </c>
      <c r="K1461" s="777" t="s">
        <v>540</v>
      </c>
    </row>
    <row r="1462" spans="1:9" ht="15.75">
      <c r="A1462" s="592"/>
      <c r="B1462" s="611" t="s">
        <v>332</v>
      </c>
      <c r="C1462" s="588"/>
      <c r="D1462" s="488"/>
      <c r="E1462" s="519">
        <v>99200</v>
      </c>
      <c r="F1462" s="642"/>
      <c r="G1462" s="434">
        <f t="shared" si="38"/>
        <v>0</v>
      </c>
      <c r="H1462" s="637"/>
      <c r="I1462" s="637"/>
    </row>
    <row r="1463" spans="1:9" ht="15.75">
      <c r="A1463" s="592"/>
      <c r="B1463" s="611" t="s">
        <v>333</v>
      </c>
      <c r="C1463" s="588"/>
      <c r="D1463" s="488"/>
      <c r="E1463" s="519">
        <v>96000</v>
      </c>
      <c r="F1463" s="642"/>
      <c r="G1463" s="434">
        <f t="shared" si="38"/>
        <v>0</v>
      </c>
      <c r="H1463" s="637"/>
      <c r="I1463" s="637"/>
    </row>
    <row r="1464" spans="1:9" ht="15.75">
      <c r="A1464" s="592"/>
      <c r="B1464" s="611" t="s">
        <v>339</v>
      </c>
      <c r="C1464" s="588"/>
      <c r="D1464" s="488"/>
      <c r="E1464" s="519">
        <v>198133.82</v>
      </c>
      <c r="F1464" s="642"/>
      <c r="G1464" s="434">
        <f t="shared" si="38"/>
        <v>0</v>
      </c>
      <c r="H1464" s="637"/>
      <c r="I1464" s="637"/>
    </row>
    <row r="1465" spans="1:11" ht="15.75">
      <c r="A1465" s="592"/>
      <c r="B1465" s="611" t="s">
        <v>345</v>
      </c>
      <c r="C1465" s="588"/>
      <c r="D1465" s="488"/>
      <c r="E1465" s="519">
        <v>147660</v>
      </c>
      <c r="F1465" s="642"/>
      <c r="G1465" s="434">
        <f t="shared" si="38"/>
        <v>0</v>
      </c>
      <c r="H1465" s="637"/>
      <c r="I1465" s="637">
        <v>100000</v>
      </c>
      <c r="J1465" s="777">
        <v>17</v>
      </c>
      <c r="K1465" s="777" t="s">
        <v>541</v>
      </c>
    </row>
    <row r="1466" spans="1:11" ht="15.75">
      <c r="A1466" s="571"/>
      <c r="B1466" s="737" t="s">
        <v>334</v>
      </c>
      <c r="C1466" s="738"/>
      <c r="D1466" s="500"/>
      <c r="E1466" s="521">
        <v>220675</v>
      </c>
      <c r="F1466" s="646"/>
      <c r="G1466" s="494">
        <f t="shared" si="38"/>
        <v>0</v>
      </c>
      <c r="H1466" s="647"/>
      <c r="I1466" s="647">
        <v>350000</v>
      </c>
      <c r="J1466" s="777">
        <v>18</v>
      </c>
      <c r="K1466" s="777" t="s">
        <v>542</v>
      </c>
    </row>
    <row r="1467" spans="1:9" ht="15.75">
      <c r="A1467" s="574"/>
      <c r="B1467" s="611"/>
      <c r="C1467" s="587"/>
      <c r="D1467" s="601"/>
      <c r="E1467" s="413"/>
      <c r="F1467" s="843"/>
      <c r="G1467" s="413"/>
      <c r="H1467" s="648"/>
      <c r="I1467" s="648"/>
    </row>
    <row r="1468" spans="1:9" ht="15.75">
      <c r="A1468" s="574" t="s">
        <v>180</v>
      </c>
      <c r="B1468" s="609"/>
      <c r="C1468" s="609"/>
      <c r="D1468" s="736"/>
      <c r="E1468" s="413"/>
      <c r="F1468" s="648"/>
      <c r="G1468" s="413"/>
      <c r="H1468" s="413"/>
      <c r="I1468" s="883"/>
    </row>
    <row r="1469" spans="1:9" ht="15.75">
      <c r="A1469" s="574" t="s">
        <v>133</v>
      </c>
      <c r="B1469" s="609"/>
      <c r="C1469" s="609"/>
      <c r="D1469" s="736"/>
      <c r="E1469" s="413"/>
      <c r="F1469" s="648"/>
      <c r="G1469" s="413"/>
      <c r="H1469" s="413"/>
      <c r="I1469" s="883"/>
    </row>
    <row r="1470" spans="1:9" ht="9" customHeight="1">
      <c r="A1470" s="572"/>
      <c r="B1470" s="737"/>
      <c r="C1470" s="602"/>
      <c r="D1470" s="604"/>
      <c r="E1470" s="565"/>
      <c r="F1470" s="844"/>
      <c r="G1470" s="565"/>
      <c r="H1470" s="649"/>
      <c r="I1470" s="649"/>
    </row>
    <row r="1471" spans="1:11" ht="15.75">
      <c r="A1471" s="592"/>
      <c r="B1471" s="611" t="s">
        <v>335</v>
      </c>
      <c r="C1471" s="588"/>
      <c r="D1471" s="488"/>
      <c r="E1471" s="519">
        <v>91760</v>
      </c>
      <c r="F1471" s="642"/>
      <c r="G1471" s="434">
        <f aca="true" t="shared" si="39" ref="G1471:G1486">H1471-F1471</f>
        <v>0</v>
      </c>
      <c r="H1471" s="637"/>
      <c r="I1471" s="637">
        <f>50000+45000</f>
        <v>95000</v>
      </c>
      <c r="J1471" s="777">
        <v>19</v>
      </c>
      <c r="K1471" s="777" t="s">
        <v>543</v>
      </c>
    </row>
    <row r="1472" spans="1:9" ht="15.75">
      <c r="A1472" s="592"/>
      <c r="B1472" s="611" t="s">
        <v>340</v>
      </c>
      <c r="C1472" s="588"/>
      <c r="D1472" s="488"/>
      <c r="E1472" s="519">
        <v>68643.71</v>
      </c>
      <c r="F1472" s="642"/>
      <c r="G1472" s="434">
        <f t="shared" si="39"/>
        <v>0</v>
      </c>
      <c r="H1472" s="637"/>
      <c r="I1472" s="637"/>
    </row>
    <row r="1473" spans="1:11" ht="15.75">
      <c r="A1473" s="592"/>
      <c r="B1473" s="611" t="s">
        <v>341</v>
      </c>
      <c r="C1473" s="629"/>
      <c r="D1473" s="488"/>
      <c r="E1473" s="519">
        <v>74655.74</v>
      </c>
      <c r="F1473" s="642"/>
      <c r="G1473" s="434">
        <f t="shared" si="39"/>
        <v>0</v>
      </c>
      <c r="H1473" s="637"/>
      <c r="I1473" s="637">
        <v>60000</v>
      </c>
      <c r="J1473" s="777">
        <v>20</v>
      </c>
      <c r="K1473" s="777" t="s">
        <v>544</v>
      </c>
    </row>
    <row r="1474" spans="1:11" ht="15.75">
      <c r="A1474" s="592"/>
      <c r="B1474" s="611" t="s">
        <v>509</v>
      </c>
      <c r="C1474" s="629"/>
      <c r="D1474" s="488"/>
      <c r="E1474" s="519"/>
      <c r="F1474" s="642"/>
      <c r="G1474" s="434">
        <f t="shared" si="39"/>
        <v>0</v>
      </c>
      <c r="H1474" s="637"/>
      <c r="I1474" s="637">
        <f>50000</f>
        <v>50000</v>
      </c>
      <c r="J1474" s="777">
        <v>21</v>
      </c>
      <c r="K1474" s="777" t="s">
        <v>545</v>
      </c>
    </row>
    <row r="1475" spans="1:11" ht="15.75">
      <c r="A1475" s="592"/>
      <c r="B1475" s="611" t="s">
        <v>342</v>
      </c>
      <c r="C1475" s="629"/>
      <c r="D1475" s="488"/>
      <c r="E1475" s="519">
        <v>63000</v>
      </c>
      <c r="F1475" s="642"/>
      <c r="G1475" s="434">
        <f t="shared" si="39"/>
        <v>0</v>
      </c>
      <c r="H1475" s="637"/>
      <c r="I1475" s="637">
        <f>20000+40000</f>
        <v>60000</v>
      </c>
      <c r="J1475" s="777">
        <v>22</v>
      </c>
      <c r="K1475" s="777" t="s">
        <v>546</v>
      </c>
    </row>
    <row r="1476" spans="1:9" ht="15.75">
      <c r="A1476" s="592"/>
      <c r="B1476" s="611" t="s">
        <v>343</v>
      </c>
      <c r="C1476" s="629"/>
      <c r="D1476" s="488"/>
      <c r="E1476" s="519">
        <v>246532.87</v>
      </c>
      <c r="F1476" s="642">
        <v>197684</v>
      </c>
      <c r="G1476" s="434">
        <f t="shared" si="39"/>
        <v>2316</v>
      </c>
      <c r="H1476" s="637">
        <v>200000</v>
      </c>
      <c r="I1476" s="637"/>
    </row>
    <row r="1477" spans="1:9" ht="15.75">
      <c r="A1477" s="592"/>
      <c r="B1477" s="611" t="s">
        <v>344</v>
      </c>
      <c r="C1477" s="588"/>
      <c r="D1477" s="488"/>
      <c r="E1477" s="519">
        <v>1875541.34</v>
      </c>
      <c r="F1477" s="642"/>
      <c r="G1477" s="434">
        <f t="shared" si="39"/>
        <v>0</v>
      </c>
      <c r="H1477" s="637"/>
      <c r="I1477" s="637"/>
    </row>
    <row r="1478" spans="1:11" ht="15.75">
      <c r="A1478" s="592"/>
      <c r="B1478" s="611" t="s">
        <v>322</v>
      </c>
      <c r="C1478" s="588"/>
      <c r="D1478" s="488"/>
      <c r="E1478" s="519">
        <v>287452</v>
      </c>
      <c r="F1478" s="642"/>
      <c r="G1478" s="434">
        <f t="shared" si="39"/>
        <v>0</v>
      </c>
      <c r="H1478" s="637"/>
      <c r="I1478" s="637">
        <f>30000+50000+35000+30000</f>
        <v>145000</v>
      </c>
      <c r="J1478" s="777">
        <v>23</v>
      </c>
      <c r="K1478" s="777" t="s">
        <v>547</v>
      </c>
    </row>
    <row r="1479" spans="1:11" ht="15.75">
      <c r="A1479" s="592"/>
      <c r="B1479" s="611" t="s">
        <v>447</v>
      </c>
      <c r="C1479" s="588"/>
      <c r="D1479" s="488"/>
      <c r="E1479" s="519"/>
      <c r="F1479" s="642"/>
      <c r="G1479" s="434">
        <f t="shared" si="39"/>
        <v>0</v>
      </c>
      <c r="H1479" s="637"/>
      <c r="I1479" s="637">
        <f>20000+20000</f>
        <v>40000</v>
      </c>
      <c r="J1479" s="777">
        <v>24</v>
      </c>
      <c r="K1479" s="777" t="s">
        <v>548</v>
      </c>
    </row>
    <row r="1480" spans="1:11" ht="15.75">
      <c r="A1480" s="592"/>
      <c r="B1480" s="611" t="s">
        <v>328</v>
      </c>
      <c r="C1480" s="629"/>
      <c r="D1480" s="488"/>
      <c r="E1480" s="519"/>
      <c r="F1480" s="642"/>
      <c r="G1480" s="434">
        <f t="shared" si="39"/>
        <v>0</v>
      </c>
      <c r="H1480" s="637"/>
      <c r="I1480" s="637">
        <f>70000+80000+50000+50000+20000</f>
        <v>270000</v>
      </c>
      <c r="J1480" s="777">
        <v>25</v>
      </c>
      <c r="K1480" s="777" t="s">
        <v>549</v>
      </c>
    </row>
    <row r="1481" spans="1:11" ht="15.75">
      <c r="A1481" s="592"/>
      <c r="B1481" s="611" t="s">
        <v>448</v>
      </c>
      <c r="C1481" s="629"/>
      <c r="D1481" s="488"/>
      <c r="E1481" s="519"/>
      <c r="F1481" s="642"/>
      <c r="G1481" s="434">
        <f t="shared" si="39"/>
        <v>100000</v>
      </c>
      <c r="H1481" s="637">
        <v>100000</v>
      </c>
      <c r="I1481" s="637">
        <f>50000+50000</f>
        <v>100000</v>
      </c>
      <c r="J1481" s="777">
        <v>26</v>
      </c>
      <c r="K1481" s="777" t="s">
        <v>550</v>
      </c>
    </row>
    <row r="1482" spans="1:11" ht="15.75">
      <c r="A1482" s="592"/>
      <c r="B1482" s="611" t="s">
        <v>449</v>
      </c>
      <c r="C1482" s="588"/>
      <c r="D1482" s="488"/>
      <c r="E1482" s="519"/>
      <c r="F1482" s="642"/>
      <c r="G1482" s="434">
        <f t="shared" si="39"/>
        <v>0</v>
      </c>
      <c r="H1482" s="637"/>
      <c r="I1482" s="637">
        <v>80000</v>
      </c>
      <c r="J1482" s="777">
        <v>27</v>
      </c>
      <c r="K1482" s="777" t="s">
        <v>551</v>
      </c>
    </row>
    <row r="1483" spans="1:11" ht="15.75">
      <c r="A1483" s="592"/>
      <c r="B1483" s="611" t="s">
        <v>450</v>
      </c>
      <c r="C1483" s="588"/>
      <c r="D1483" s="488"/>
      <c r="E1483" s="519"/>
      <c r="F1483" s="642"/>
      <c r="G1483" s="434">
        <f t="shared" si="39"/>
        <v>0</v>
      </c>
      <c r="H1483" s="637"/>
      <c r="I1483" s="637">
        <f>100000</f>
        <v>100000</v>
      </c>
      <c r="J1483" s="777">
        <v>28</v>
      </c>
      <c r="K1483" s="777" t="s">
        <v>552</v>
      </c>
    </row>
    <row r="1484" spans="1:11" ht="15.75">
      <c r="A1484" s="592"/>
      <c r="B1484" s="611" t="s">
        <v>451</v>
      </c>
      <c r="C1484" s="588"/>
      <c r="D1484" s="488"/>
      <c r="E1484" s="519"/>
      <c r="F1484" s="642">
        <v>57226</v>
      </c>
      <c r="G1484" s="434">
        <f t="shared" si="39"/>
        <v>142774</v>
      </c>
      <c r="H1484" s="637">
        <v>200000</v>
      </c>
      <c r="I1484" s="637">
        <v>200000</v>
      </c>
      <c r="J1484" s="777">
        <v>29</v>
      </c>
      <c r="K1484" s="777" t="s">
        <v>553</v>
      </c>
    </row>
    <row r="1485" spans="1:9" ht="15.75">
      <c r="A1485" s="592"/>
      <c r="B1485" s="611" t="s">
        <v>620</v>
      </c>
      <c r="C1485" s="588"/>
      <c r="D1485" s="488"/>
      <c r="E1485" s="519"/>
      <c r="F1485" s="642"/>
      <c r="G1485" s="434">
        <f t="shared" si="39"/>
        <v>500000</v>
      </c>
      <c r="H1485" s="637">
        <v>500000</v>
      </c>
      <c r="I1485" s="637"/>
    </row>
    <row r="1486" spans="1:9" ht="15.75">
      <c r="A1486" s="592"/>
      <c r="B1486" s="611" t="s">
        <v>621</v>
      </c>
      <c r="C1486" s="588"/>
      <c r="D1486" s="488"/>
      <c r="E1486" s="519"/>
      <c r="F1486" s="642">
        <v>901500</v>
      </c>
      <c r="G1486" s="434">
        <f t="shared" si="39"/>
        <v>7215741.85</v>
      </c>
      <c r="H1486" s="637">
        <v>8117241.85</v>
      </c>
      <c r="I1486" s="637"/>
    </row>
    <row r="1487" spans="1:11" ht="15.75">
      <c r="A1487" s="592"/>
      <c r="B1487" s="611" t="s">
        <v>508</v>
      </c>
      <c r="C1487" s="588"/>
      <c r="D1487" s="488"/>
      <c r="E1487" s="519"/>
      <c r="F1487" s="642"/>
      <c r="G1487" s="434"/>
      <c r="H1487" s="637"/>
      <c r="I1487" s="637">
        <v>300000</v>
      </c>
      <c r="J1487" s="777">
        <v>30</v>
      </c>
      <c r="K1487" s="785" t="s">
        <v>560</v>
      </c>
    </row>
    <row r="1488" spans="1:11" ht="15.75">
      <c r="A1488" s="592"/>
      <c r="B1488" s="611" t="s">
        <v>558</v>
      </c>
      <c r="C1488" s="588"/>
      <c r="D1488" s="488"/>
      <c r="E1488" s="519"/>
      <c r="F1488" s="642"/>
      <c r="G1488" s="434"/>
      <c r="H1488" s="637"/>
      <c r="I1488" s="637">
        <v>200000</v>
      </c>
      <c r="K1488" s="785" t="s">
        <v>559</v>
      </c>
    </row>
    <row r="1489" spans="1:11" ht="15.75">
      <c r="A1489" s="592"/>
      <c r="B1489" s="611" t="s">
        <v>510</v>
      </c>
      <c r="C1489" s="588"/>
      <c r="D1489" s="488"/>
      <c r="E1489" s="519"/>
      <c r="F1489" s="642"/>
      <c r="G1489" s="434"/>
      <c r="H1489" s="637"/>
      <c r="I1489" s="637">
        <f>150000+500000</f>
        <v>650000</v>
      </c>
      <c r="J1489" s="777">
        <v>31</v>
      </c>
      <c r="K1489" s="777" t="s">
        <v>554</v>
      </c>
    </row>
    <row r="1490" spans="1:11" ht="15.75">
      <c r="A1490" s="592"/>
      <c r="B1490" s="611" t="s">
        <v>512</v>
      </c>
      <c r="C1490" s="588"/>
      <c r="D1490" s="488"/>
      <c r="E1490" s="519"/>
      <c r="F1490" s="642"/>
      <c r="G1490" s="434"/>
      <c r="H1490" s="637"/>
      <c r="I1490" s="637">
        <v>100000</v>
      </c>
      <c r="J1490" s="777">
        <v>32</v>
      </c>
      <c r="K1490" s="777" t="s">
        <v>555</v>
      </c>
    </row>
    <row r="1491" spans="1:11" ht="15.75">
      <c r="A1491" s="592"/>
      <c r="B1491" s="229" t="s">
        <v>523</v>
      </c>
      <c r="C1491" s="588"/>
      <c r="D1491" s="488"/>
      <c r="E1491" s="519"/>
      <c r="F1491" s="642"/>
      <c r="G1491" s="434"/>
      <c r="H1491" s="637"/>
      <c r="I1491" s="637">
        <v>150000</v>
      </c>
      <c r="J1491" s="777">
        <v>33</v>
      </c>
      <c r="K1491" s="777" t="s">
        <v>556</v>
      </c>
    </row>
    <row r="1492" spans="1:11" ht="15.75">
      <c r="A1492" s="592"/>
      <c r="B1492" s="611" t="s">
        <v>513</v>
      </c>
      <c r="C1492" s="588"/>
      <c r="D1492" s="488"/>
      <c r="E1492" s="519"/>
      <c r="F1492" s="642"/>
      <c r="G1492" s="434"/>
      <c r="H1492" s="637"/>
      <c r="I1492" s="637">
        <v>50000</v>
      </c>
      <c r="J1492" s="777">
        <v>34</v>
      </c>
      <c r="K1492" s="777" t="s">
        <v>557</v>
      </c>
    </row>
    <row r="1493" spans="1:9" ht="15.75">
      <c r="A1493" s="414" t="s">
        <v>240</v>
      </c>
      <c r="B1493" s="411"/>
      <c r="C1493" s="493"/>
      <c r="D1493" s="488"/>
      <c r="E1493" s="436">
        <f>SUM(E1494:E1495)</f>
        <v>0</v>
      </c>
      <c r="F1493" s="636"/>
      <c r="G1493" s="436">
        <f>H1493-F1493</f>
        <v>550000</v>
      </c>
      <c r="H1493" s="436">
        <f>SUM(H1494:H1495)</f>
        <v>550000</v>
      </c>
      <c r="I1493" s="636">
        <f>SUM(I1494:I1495)</f>
        <v>300000</v>
      </c>
    </row>
    <row r="1494" spans="1:9" ht="15.75">
      <c r="A1494" s="592"/>
      <c r="B1494" s="411" t="s">
        <v>241</v>
      </c>
      <c r="C1494" s="493"/>
      <c r="D1494" s="488"/>
      <c r="E1494" s="413"/>
      <c r="F1494" s="637"/>
      <c r="G1494" s="434">
        <f>H1494-F1494</f>
        <v>300000</v>
      </c>
      <c r="H1494" s="434">
        <v>300000</v>
      </c>
      <c r="I1494" s="637">
        <v>300000</v>
      </c>
    </row>
    <row r="1495" spans="1:9" ht="15.75">
      <c r="A1495" s="592"/>
      <c r="B1495" s="411" t="s">
        <v>242</v>
      </c>
      <c r="C1495" s="493"/>
      <c r="D1495" s="488"/>
      <c r="E1495" s="413"/>
      <c r="F1495" s="637"/>
      <c r="G1495" s="434">
        <f>H1495-F1495</f>
        <v>250000</v>
      </c>
      <c r="H1495" s="434">
        <v>250000</v>
      </c>
      <c r="I1495" s="637"/>
    </row>
    <row r="1496" spans="1:11" s="2" customFormat="1" ht="18.75" customHeight="1">
      <c r="A1496" s="414" t="s">
        <v>709</v>
      </c>
      <c r="B1496" s="563"/>
      <c r="C1496" s="591"/>
      <c r="D1496" s="608"/>
      <c r="E1496" s="436">
        <f>E1498+E1500+E1502+E1507+E1510+E1513+E1514+E1517+E1518+E1520+E1521+E1522+E1523+E1525+E1526+E1527+E1528+E1529+E1539+E1540+E1555</f>
        <v>49900616.73</v>
      </c>
      <c r="F1496" s="636">
        <f>F1503+F1504+F1505+F1507+F1511+F1530+F1531+F1532+F1533+F1535</f>
        <v>20048240.2</v>
      </c>
      <c r="G1496" s="636">
        <f>H1496-F1496</f>
        <v>26968922.2</v>
      </c>
      <c r="H1496" s="636">
        <f>H1498+H1503+H1504+H1505+H1507+H1510+H1511+H1530+H1531+H1532+H1533+H1535+H1541+H1542</f>
        <v>47017162.4</v>
      </c>
      <c r="I1496" s="636">
        <f>I1511+I1536+I1537+I1538+I1543+I1544+I1545+I1546+I1548+I1549+I1550+I1551+I1552</f>
        <v>50287526.2</v>
      </c>
      <c r="J1496" s="782"/>
      <c r="K1496" s="782"/>
    </row>
    <row r="1497" spans="1:9" ht="21" customHeight="1">
      <c r="A1497" s="414" t="s">
        <v>139</v>
      </c>
      <c r="B1497" s="411"/>
      <c r="C1497" s="493"/>
      <c r="D1497" s="975"/>
      <c r="E1497" s="434"/>
      <c r="F1497" s="648"/>
      <c r="G1497" s="437"/>
      <c r="H1497" s="638"/>
      <c r="I1497" s="638"/>
    </row>
    <row r="1498" spans="1:9" ht="23.25" customHeight="1">
      <c r="A1498" s="410"/>
      <c r="B1498" s="609" t="s">
        <v>300</v>
      </c>
      <c r="C1498" s="574"/>
      <c r="D1498" s="485"/>
      <c r="E1498" s="434">
        <v>995325</v>
      </c>
      <c r="F1498" s="651"/>
      <c r="G1498" s="434">
        <f aca="true" t="shared" si="40" ref="G1498:G1505">H1498-F1498</f>
        <v>1000000</v>
      </c>
      <c r="H1498" s="651">
        <v>1000000</v>
      </c>
      <c r="I1498" s="651"/>
    </row>
    <row r="1499" spans="1:13" ht="15.75">
      <c r="A1499" s="410"/>
      <c r="B1499" s="609" t="s">
        <v>630</v>
      </c>
      <c r="C1499" s="411"/>
      <c r="D1499" s="485"/>
      <c r="E1499" s="434"/>
      <c r="F1499" s="651"/>
      <c r="G1499" s="434">
        <f t="shared" si="40"/>
        <v>0</v>
      </c>
      <c r="H1499" s="651"/>
      <c r="I1499" s="651"/>
      <c r="L1499" s="5"/>
      <c r="M1499" s="5"/>
    </row>
    <row r="1500" spans="1:13" ht="15.75">
      <c r="A1500" s="410"/>
      <c r="B1500" s="609"/>
      <c r="C1500" s="411" t="s">
        <v>375</v>
      </c>
      <c r="D1500" s="485"/>
      <c r="E1500" s="434">
        <v>200000</v>
      </c>
      <c r="F1500" s="651"/>
      <c r="G1500" s="434">
        <f t="shared" si="40"/>
        <v>0</v>
      </c>
      <c r="H1500" s="651"/>
      <c r="I1500" s="651"/>
      <c r="L1500" s="5"/>
      <c r="M1500" s="5"/>
    </row>
    <row r="1501" spans="1:13" ht="15.75">
      <c r="A1501" s="410"/>
      <c r="B1501" s="609"/>
      <c r="C1501" s="411" t="s">
        <v>430</v>
      </c>
      <c r="D1501" s="485"/>
      <c r="E1501" s="434"/>
      <c r="F1501" s="651"/>
      <c r="G1501" s="434">
        <f t="shared" si="40"/>
        <v>0</v>
      </c>
      <c r="H1501" s="651"/>
      <c r="I1501" s="651"/>
      <c r="L1501" s="5"/>
      <c r="M1501" s="5"/>
    </row>
    <row r="1502" spans="1:13" ht="15.75">
      <c r="A1502" s="410"/>
      <c r="B1502" s="609" t="s">
        <v>416</v>
      </c>
      <c r="C1502" s="574"/>
      <c r="D1502" s="485"/>
      <c r="E1502" s="434">
        <v>3000000</v>
      </c>
      <c r="F1502" s="651"/>
      <c r="G1502" s="434">
        <f t="shared" si="40"/>
        <v>0</v>
      </c>
      <c r="H1502" s="651"/>
      <c r="I1502" s="651"/>
      <c r="L1502" s="5"/>
      <c r="M1502" s="5"/>
    </row>
    <row r="1503" spans="1:9" ht="14.25" customHeight="1">
      <c r="A1503" s="410"/>
      <c r="B1503" s="692" t="s">
        <v>631</v>
      </c>
      <c r="C1503" s="690"/>
      <c r="D1503" s="485"/>
      <c r="E1503" s="434"/>
      <c r="F1503" s="637">
        <v>1498084.53</v>
      </c>
      <c r="G1503" s="434">
        <f t="shared" si="40"/>
        <v>1915.469999999972</v>
      </c>
      <c r="H1503" s="637">
        <v>1500000</v>
      </c>
      <c r="I1503" s="637"/>
    </row>
    <row r="1504" spans="1:9" ht="14.25" customHeight="1">
      <c r="A1504" s="410"/>
      <c r="B1504" s="692" t="s">
        <v>632</v>
      </c>
      <c r="C1504" s="690"/>
      <c r="D1504" s="485"/>
      <c r="E1504" s="434"/>
      <c r="F1504" s="637">
        <v>349158.87</v>
      </c>
      <c r="G1504" s="434">
        <f t="shared" si="40"/>
        <v>513.1300000000047</v>
      </c>
      <c r="H1504" s="637">
        <v>349672</v>
      </c>
      <c r="I1504" s="637"/>
    </row>
    <row r="1505" spans="1:9" ht="14.25" customHeight="1">
      <c r="A1505" s="410"/>
      <c r="B1505" s="692" t="s">
        <v>633</v>
      </c>
      <c r="C1505" s="690"/>
      <c r="D1505" s="485"/>
      <c r="E1505" s="434"/>
      <c r="F1505" s="637"/>
      <c r="G1505" s="434">
        <f t="shared" si="40"/>
        <v>2000000</v>
      </c>
      <c r="H1505" s="637">
        <v>2000000</v>
      </c>
      <c r="I1505" s="637"/>
    </row>
    <row r="1506" spans="1:13" ht="12" customHeight="1">
      <c r="A1506" s="414" t="s">
        <v>140</v>
      </c>
      <c r="B1506" s="493"/>
      <c r="C1506" s="691"/>
      <c r="D1506" s="485"/>
      <c r="E1506" s="434"/>
      <c r="F1506" s="637"/>
      <c r="G1506" s="434"/>
      <c r="H1506" s="638"/>
      <c r="I1506" s="638"/>
      <c r="L1506" s="5"/>
      <c r="M1506" s="5"/>
    </row>
    <row r="1507" spans="1:13" ht="14.25" customHeight="1">
      <c r="A1507" s="410"/>
      <c r="B1507" s="493" t="s">
        <v>141</v>
      </c>
      <c r="C1507" s="597"/>
      <c r="D1507" s="488"/>
      <c r="E1507" s="434">
        <v>3300000</v>
      </c>
      <c r="F1507" s="637">
        <v>300000</v>
      </c>
      <c r="G1507" s="434">
        <f>H1507-F1507</f>
        <v>10100000</v>
      </c>
      <c r="H1507" s="637">
        <v>10400000</v>
      </c>
      <c r="I1507" s="637"/>
      <c r="L1507" s="5"/>
      <c r="M1507" s="5"/>
    </row>
    <row r="1508" spans="1:13" ht="15" customHeight="1">
      <c r="A1508" s="410"/>
      <c r="B1508" s="411" t="s">
        <v>142</v>
      </c>
      <c r="C1508" s="411"/>
      <c r="D1508" s="488"/>
      <c r="E1508" s="434"/>
      <c r="F1508" s="651"/>
      <c r="G1508" s="434"/>
      <c r="H1508" s="519"/>
      <c r="I1508" s="651"/>
      <c r="L1508" s="5"/>
      <c r="M1508" s="5"/>
    </row>
    <row r="1509" spans="1:13" ht="12" customHeight="1">
      <c r="A1509" s="410"/>
      <c r="B1509" s="609" t="s">
        <v>143</v>
      </c>
      <c r="C1509" s="609"/>
      <c r="D1509" s="488"/>
      <c r="E1509" s="434"/>
      <c r="F1509" s="651"/>
      <c r="G1509" s="434"/>
      <c r="H1509" s="651"/>
      <c r="I1509" s="651"/>
      <c r="L1509" s="5"/>
      <c r="M1509" s="5"/>
    </row>
    <row r="1510" spans="1:13" ht="12" customHeight="1">
      <c r="A1510" s="410"/>
      <c r="B1510" s="609"/>
      <c r="C1510" s="609" t="s">
        <v>243</v>
      </c>
      <c r="D1510" s="488"/>
      <c r="E1510" s="434">
        <v>1232570.13</v>
      </c>
      <c r="F1510" s="651"/>
      <c r="G1510" s="434">
        <f aca="true" t="shared" si="41" ref="G1510:G1542">H1510-F1510</f>
        <v>1250000</v>
      </c>
      <c r="H1510" s="651">
        <v>1250000</v>
      </c>
      <c r="I1510" s="651"/>
      <c r="L1510" s="5"/>
      <c r="M1510" s="5"/>
    </row>
    <row r="1511" spans="1:13" ht="13.5" customHeight="1">
      <c r="A1511" s="592"/>
      <c r="B1511" s="609" t="s">
        <v>424</v>
      </c>
      <c r="C1511" s="609"/>
      <c r="D1511" s="488"/>
      <c r="E1511" s="434"/>
      <c r="F1511" s="651">
        <v>6435846.56</v>
      </c>
      <c r="G1511" s="434">
        <f t="shared" si="41"/>
        <v>9403643.84</v>
      </c>
      <c r="H1511" s="651">
        <v>15839490.4</v>
      </c>
      <c r="I1511" s="651">
        <v>16797540.43</v>
      </c>
      <c r="L1511" s="5"/>
      <c r="M1511" s="5"/>
    </row>
    <row r="1512" spans="1:13" ht="13.5" customHeight="1">
      <c r="A1512" s="592"/>
      <c r="B1512" s="609" t="s">
        <v>301</v>
      </c>
      <c r="C1512" s="609"/>
      <c r="D1512" s="488"/>
      <c r="E1512" s="434"/>
      <c r="F1512" s="651"/>
      <c r="G1512" s="434">
        <f t="shared" si="41"/>
        <v>0</v>
      </c>
      <c r="H1512" s="650"/>
      <c r="I1512" s="650"/>
      <c r="L1512" s="5"/>
      <c r="M1512" s="5"/>
    </row>
    <row r="1513" spans="1:13" ht="13.5" customHeight="1">
      <c r="A1513" s="592"/>
      <c r="B1513" s="609"/>
      <c r="C1513" s="609" t="s">
        <v>282</v>
      </c>
      <c r="D1513" s="488"/>
      <c r="E1513" s="434">
        <v>7372296.69</v>
      </c>
      <c r="F1513" s="651"/>
      <c r="G1513" s="434">
        <f t="shared" si="41"/>
        <v>0</v>
      </c>
      <c r="H1513" s="650"/>
      <c r="I1513" s="650"/>
      <c r="L1513" s="5"/>
      <c r="M1513" s="5"/>
    </row>
    <row r="1514" spans="1:13" ht="13.5" customHeight="1">
      <c r="A1514" s="592"/>
      <c r="B1514" s="609" t="s">
        <v>634</v>
      </c>
      <c r="C1514" s="609"/>
      <c r="D1514" s="488"/>
      <c r="E1514" s="434">
        <v>8559541.79</v>
      </c>
      <c r="F1514" s="651"/>
      <c r="G1514" s="434"/>
      <c r="H1514" s="651"/>
      <c r="I1514" s="651"/>
      <c r="L1514" s="5"/>
      <c r="M1514" s="5"/>
    </row>
    <row r="1515" spans="1:9" ht="15.75">
      <c r="A1515" s="410"/>
      <c r="B1515" s="411" t="s">
        <v>248</v>
      </c>
      <c r="C1515" s="411"/>
      <c r="D1515" s="488"/>
      <c r="E1515" s="434"/>
      <c r="F1515" s="651"/>
      <c r="G1515" s="434">
        <f t="shared" si="41"/>
        <v>0</v>
      </c>
      <c r="H1515" s="650"/>
      <c r="I1515" s="650"/>
    </row>
    <row r="1516" spans="1:9" ht="12.75" customHeight="1">
      <c r="A1516" s="410"/>
      <c r="B1516" s="980" t="s">
        <v>566</v>
      </c>
      <c r="C1516" s="981"/>
      <c r="D1516" s="488"/>
      <c r="E1516" s="664"/>
      <c r="F1516" s="637"/>
      <c r="G1516" s="434">
        <f t="shared" si="41"/>
        <v>0</v>
      </c>
      <c r="H1516" s="638"/>
      <c r="I1516" s="638"/>
    </row>
    <row r="1517" spans="1:9" ht="12.75" customHeight="1">
      <c r="A1517" s="410"/>
      <c r="B1517" s="980"/>
      <c r="C1517" s="980" t="s">
        <v>567</v>
      </c>
      <c r="D1517" s="488"/>
      <c r="E1517" s="664">
        <v>3498474.6</v>
      </c>
      <c r="F1517" s="637"/>
      <c r="G1517" s="434"/>
      <c r="H1517" s="638"/>
      <c r="I1517" s="638"/>
    </row>
    <row r="1518" spans="1:9" ht="12" customHeight="1">
      <c r="A1518" s="410"/>
      <c r="B1518" s="609" t="s">
        <v>565</v>
      </c>
      <c r="C1518" s="411"/>
      <c r="D1518" s="488"/>
      <c r="E1518" s="413">
        <v>1497777.74</v>
      </c>
      <c r="F1518" s="637"/>
      <c r="G1518" s="434">
        <f t="shared" si="41"/>
        <v>0</v>
      </c>
      <c r="H1518" s="638"/>
      <c r="I1518" s="638"/>
    </row>
    <row r="1519" spans="1:9" ht="12" customHeight="1">
      <c r="A1519" s="410"/>
      <c r="B1519" s="609" t="s">
        <v>635</v>
      </c>
      <c r="C1519" s="411"/>
      <c r="D1519" s="488"/>
      <c r="E1519" s="413"/>
      <c r="F1519" s="637"/>
      <c r="G1519" s="434">
        <f t="shared" si="41"/>
        <v>0</v>
      </c>
      <c r="H1519" s="638"/>
      <c r="I1519" s="638"/>
    </row>
    <row r="1520" spans="1:9" ht="12" customHeight="1">
      <c r="A1520" s="410"/>
      <c r="B1520" s="609"/>
      <c r="C1520" s="411" t="s">
        <v>636</v>
      </c>
      <c r="D1520" s="488"/>
      <c r="E1520" s="413">
        <v>1498292.97</v>
      </c>
      <c r="F1520" s="637"/>
      <c r="G1520" s="434"/>
      <c r="H1520" s="638"/>
      <c r="I1520" s="638"/>
    </row>
    <row r="1521" spans="1:9" ht="14.25" customHeight="1">
      <c r="A1521" s="410"/>
      <c r="B1521" s="609" t="s">
        <v>637</v>
      </c>
      <c r="C1521" s="411"/>
      <c r="D1521" s="488"/>
      <c r="E1521" s="413">
        <v>1498888.58</v>
      </c>
      <c r="F1521" s="637"/>
      <c r="G1521" s="434">
        <f t="shared" si="41"/>
        <v>0</v>
      </c>
      <c r="H1521" s="637"/>
      <c r="I1521" s="637"/>
    </row>
    <row r="1522" spans="1:9" ht="14.25" customHeight="1">
      <c r="A1522" s="410"/>
      <c r="B1522" s="609" t="s">
        <v>638</v>
      </c>
      <c r="C1522" s="411"/>
      <c r="D1522" s="488"/>
      <c r="E1522" s="413">
        <v>6989548.08</v>
      </c>
      <c r="F1522" s="637"/>
      <c r="G1522" s="434">
        <f t="shared" si="41"/>
        <v>0</v>
      </c>
      <c r="H1522" s="637"/>
      <c r="I1522" s="637"/>
    </row>
    <row r="1523" spans="1:9" ht="14.25" customHeight="1">
      <c r="A1523" s="410"/>
      <c r="B1523" s="609" t="s">
        <v>639</v>
      </c>
      <c r="C1523" s="411"/>
      <c r="D1523" s="488"/>
      <c r="E1523" s="413">
        <v>2997753.78</v>
      </c>
      <c r="F1523" s="637"/>
      <c r="G1523" s="434">
        <f t="shared" si="41"/>
        <v>0</v>
      </c>
      <c r="H1523" s="637"/>
      <c r="I1523" s="637"/>
    </row>
    <row r="1524" spans="1:9" ht="14.25" customHeight="1">
      <c r="A1524" s="410"/>
      <c r="B1524" s="980" t="s">
        <v>640</v>
      </c>
      <c r="C1524" s="10"/>
      <c r="D1524" s="488"/>
      <c r="E1524" s="413"/>
      <c r="F1524" s="637"/>
      <c r="G1524" s="434">
        <f t="shared" si="41"/>
        <v>0</v>
      </c>
      <c r="H1524" s="637"/>
      <c r="I1524" s="637"/>
    </row>
    <row r="1525" spans="1:9" ht="14.25" customHeight="1">
      <c r="A1525" s="410"/>
      <c r="B1525" s="980"/>
      <c r="C1525" s="609" t="s">
        <v>489</v>
      </c>
      <c r="D1525" s="488"/>
      <c r="E1525" s="413">
        <v>499352.57</v>
      </c>
      <c r="F1525" s="637"/>
      <c r="G1525" s="434"/>
      <c r="H1525" s="637"/>
      <c r="I1525" s="637"/>
    </row>
    <row r="1526" spans="1:9" ht="14.25" customHeight="1">
      <c r="A1526" s="410"/>
      <c r="B1526" s="609" t="s">
        <v>641</v>
      </c>
      <c r="C1526" s="411"/>
      <c r="D1526" s="488"/>
      <c r="E1526" s="413">
        <v>499627.67</v>
      </c>
      <c r="F1526" s="637"/>
      <c r="G1526" s="434">
        <f t="shared" si="41"/>
        <v>0</v>
      </c>
      <c r="H1526" s="637"/>
      <c r="I1526" s="637"/>
    </row>
    <row r="1527" spans="1:9" ht="14.25" customHeight="1">
      <c r="A1527" s="410"/>
      <c r="B1527" s="609" t="s">
        <v>642</v>
      </c>
      <c r="C1527" s="411"/>
      <c r="D1527" s="488"/>
      <c r="E1527" s="413">
        <v>1998546.83</v>
      </c>
      <c r="F1527" s="637"/>
      <c r="G1527" s="434">
        <f t="shared" si="41"/>
        <v>0</v>
      </c>
      <c r="H1527" s="637"/>
      <c r="I1527" s="637"/>
    </row>
    <row r="1528" spans="1:9" ht="14.25" customHeight="1">
      <c r="A1528" s="410"/>
      <c r="B1528" s="609" t="s">
        <v>643</v>
      </c>
      <c r="C1528" s="411"/>
      <c r="D1528" s="488"/>
      <c r="E1528" s="413">
        <v>1415829.8</v>
      </c>
      <c r="F1528" s="637"/>
      <c r="G1528" s="434">
        <f t="shared" si="41"/>
        <v>0</v>
      </c>
      <c r="H1528" s="637"/>
      <c r="I1528" s="637"/>
    </row>
    <row r="1529" spans="1:9" ht="14.25" customHeight="1">
      <c r="A1529" s="410"/>
      <c r="B1529" s="609" t="s">
        <v>645</v>
      </c>
      <c r="C1529" s="411"/>
      <c r="D1529" s="488"/>
      <c r="E1529" s="413">
        <v>1996650.48</v>
      </c>
      <c r="F1529" s="637"/>
      <c r="G1529" s="434">
        <f t="shared" si="41"/>
        <v>0</v>
      </c>
      <c r="H1529" s="637"/>
      <c r="I1529" s="637"/>
    </row>
    <row r="1530" spans="1:9" ht="14.25" customHeight="1">
      <c r="A1530" s="410"/>
      <c r="B1530" s="609" t="s">
        <v>644</v>
      </c>
      <c r="C1530" s="411"/>
      <c r="D1530" s="490"/>
      <c r="E1530" s="434"/>
      <c r="F1530" s="802">
        <v>3273461.97</v>
      </c>
      <c r="G1530" s="434">
        <f>H1530-F1530</f>
        <v>4538.029999999795</v>
      </c>
      <c r="H1530" s="637">
        <v>3278000</v>
      </c>
      <c r="I1530" s="637"/>
    </row>
    <row r="1531" spans="1:9" ht="14.25" customHeight="1">
      <c r="A1531" s="410"/>
      <c r="B1531" s="609" t="s">
        <v>646</v>
      </c>
      <c r="C1531" s="411"/>
      <c r="D1531" s="490"/>
      <c r="E1531" s="434"/>
      <c r="F1531" s="802">
        <v>2497980.71</v>
      </c>
      <c r="G1531" s="434">
        <f t="shared" si="41"/>
        <v>2019.2900000000373</v>
      </c>
      <c r="H1531" s="637">
        <v>2500000</v>
      </c>
      <c r="I1531" s="637"/>
    </row>
    <row r="1532" spans="1:9" ht="14.25" customHeight="1">
      <c r="A1532" s="410"/>
      <c r="B1532" s="609" t="s">
        <v>647</v>
      </c>
      <c r="C1532" s="411"/>
      <c r="D1532" s="490"/>
      <c r="E1532" s="434"/>
      <c r="F1532" s="802">
        <v>1997958.29</v>
      </c>
      <c r="G1532" s="434">
        <f t="shared" si="41"/>
        <v>2041.7099999999627</v>
      </c>
      <c r="H1532" s="637">
        <v>2000000</v>
      </c>
      <c r="I1532" s="637"/>
    </row>
    <row r="1533" spans="1:9" ht="14.25" customHeight="1">
      <c r="A1533" s="410"/>
      <c r="B1533" s="609" t="s">
        <v>648</v>
      </c>
      <c r="C1533" s="411"/>
      <c r="D1533" s="490"/>
      <c r="E1533" s="434"/>
      <c r="F1533" s="802">
        <v>1198964.09</v>
      </c>
      <c r="G1533" s="434">
        <f t="shared" si="41"/>
        <v>1035.9099999999162</v>
      </c>
      <c r="H1533" s="637">
        <v>1200000</v>
      </c>
      <c r="I1533" s="637"/>
    </row>
    <row r="1534" spans="1:9" ht="14.25" customHeight="1">
      <c r="A1534" s="410"/>
      <c r="B1534" s="609" t="s">
        <v>649</v>
      </c>
      <c r="C1534" s="411"/>
      <c r="D1534" s="490"/>
      <c r="E1534" s="434"/>
      <c r="F1534" s="802"/>
      <c r="G1534" s="434"/>
      <c r="H1534" s="637"/>
      <c r="I1534" s="637"/>
    </row>
    <row r="1535" spans="1:9" ht="14.25" customHeight="1">
      <c r="A1535" s="410"/>
      <c r="B1535" s="609"/>
      <c r="C1535" s="609" t="s">
        <v>488</v>
      </c>
      <c r="D1535" s="490"/>
      <c r="E1535" s="434"/>
      <c r="F1535" s="802">
        <v>2496785.18</v>
      </c>
      <c r="G1535" s="434">
        <f>H1535-F1535</f>
        <v>3214.8199999998324</v>
      </c>
      <c r="H1535" s="637">
        <v>2500000</v>
      </c>
      <c r="I1535" s="637"/>
    </row>
    <row r="1536" spans="1:9" ht="14.25" customHeight="1">
      <c r="A1536" s="410"/>
      <c r="B1536" s="609" t="s">
        <v>650</v>
      </c>
      <c r="C1536" s="411"/>
      <c r="D1536" s="490"/>
      <c r="E1536" s="434"/>
      <c r="F1536" s="802"/>
      <c r="G1536" s="434"/>
      <c r="H1536" s="637"/>
      <c r="I1536" s="637">
        <v>1000000</v>
      </c>
    </row>
    <row r="1537" spans="1:9" ht="14.25" customHeight="1">
      <c r="A1537" s="410"/>
      <c r="B1537" s="609" t="s">
        <v>651</v>
      </c>
      <c r="C1537" s="411"/>
      <c r="D1537" s="490"/>
      <c r="E1537" s="434"/>
      <c r="F1537" s="802"/>
      <c r="G1537" s="434"/>
      <c r="H1537" s="637"/>
      <c r="I1537" s="637">
        <v>1090000</v>
      </c>
    </row>
    <row r="1538" spans="1:9" ht="14.25" customHeight="1">
      <c r="A1538" s="410"/>
      <c r="B1538" s="609" t="s">
        <v>652</v>
      </c>
      <c r="C1538" s="411"/>
      <c r="D1538" s="490"/>
      <c r="E1538" s="434"/>
      <c r="F1538" s="802"/>
      <c r="G1538" s="434"/>
      <c r="H1538" s="637"/>
      <c r="I1538" s="637">
        <v>3000000</v>
      </c>
    </row>
    <row r="1539" spans="1:9" ht="14.25" customHeight="1">
      <c r="A1539" s="410"/>
      <c r="B1539" s="609" t="s">
        <v>492</v>
      </c>
      <c r="C1539" s="609"/>
      <c r="D1539" s="490"/>
      <c r="E1539" s="434">
        <v>468977.52</v>
      </c>
      <c r="F1539" s="802"/>
      <c r="G1539" s="434">
        <f t="shared" si="41"/>
        <v>0</v>
      </c>
      <c r="H1539" s="637"/>
      <c r="I1539" s="637"/>
    </row>
    <row r="1540" spans="1:9" ht="14.25" customHeight="1">
      <c r="A1540" s="410"/>
      <c r="B1540" s="609" t="s">
        <v>653</v>
      </c>
      <c r="C1540" s="609"/>
      <c r="D1540" s="490"/>
      <c r="E1540" s="434">
        <v>133700</v>
      </c>
      <c r="F1540" s="802"/>
      <c r="G1540" s="434">
        <f t="shared" si="41"/>
        <v>0</v>
      </c>
      <c r="H1540" s="637"/>
      <c r="I1540" s="637"/>
    </row>
    <row r="1541" spans="1:9" ht="14.25" customHeight="1">
      <c r="A1541" s="410"/>
      <c r="B1541" s="609" t="s">
        <v>654</v>
      </c>
      <c r="C1541" s="411"/>
      <c r="D1541" s="490"/>
      <c r="E1541" s="434"/>
      <c r="F1541" s="802"/>
      <c r="G1541" s="434">
        <f t="shared" si="41"/>
        <v>200000</v>
      </c>
      <c r="H1541" s="637">
        <v>200000</v>
      </c>
      <c r="I1541" s="637"/>
    </row>
    <row r="1542" spans="1:9" ht="14.25" customHeight="1">
      <c r="A1542" s="410"/>
      <c r="B1542" s="609" t="s">
        <v>655</v>
      </c>
      <c r="C1542" s="411"/>
      <c r="D1542" s="490"/>
      <c r="E1542" s="434"/>
      <c r="F1542" s="802"/>
      <c r="G1542" s="434">
        <f t="shared" si="41"/>
        <v>3000000</v>
      </c>
      <c r="H1542" s="637">
        <v>3000000</v>
      </c>
      <c r="I1542" s="637"/>
    </row>
    <row r="1543" spans="1:9" ht="14.25" customHeight="1">
      <c r="A1543" s="410"/>
      <c r="B1543" s="609" t="s">
        <v>656</v>
      </c>
      <c r="C1543" s="411"/>
      <c r="D1543" s="490"/>
      <c r="E1543" s="434"/>
      <c r="F1543" s="802"/>
      <c r="G1543" s="434"/>
      <c r="H1543" s="637"/>
      <c r="I1543" s="637">
        <v>7000000</v>
      </c>
    </row>
    <row r="1544" spans="1:9" ht="14.25" customHeight="1">
      <c r="A1544" s="410"/>
      <c r="B1544" s="609" t="s">
        <v>657</v>
      </c>
      <c r="C1544" s="411"/>
      <c r="D1544" s="490"/>
      <c r="E1544" s="434"/>
      <c r="F1544" s="802"/>
      <c r="G1544" s="434"/>
      <c r="H1544" s="637"/>
      <c r="I1544" s="637">
        <v>10000000</v>
      </c>
    </row>
    <row r="1545" spans="1:11" s="9" customFormat="1" ht="14.25" customHeight="1">
      <c r="A1545" s="722"/>
      <c r="B1545" s="609" t="s">
        <v>658</v>
      </c>
      <c r="C1545" s="723"/>
      <c r="D1545" s="724"/>
      <c r="E1545" s="725"/>
      <c r="F1545" s="802"/>
      <c r="G1545" s="725"/>
      <c r="H1545" s="725"/>
      <c r="I1545" s="434">
        <v>1600000</v>
      </c>
      <c r="J1545" s="783"/>
      <c r="K1545" s="783" t="s">
        <v>524</v>
      </c>
    </row>
    <row r="1546" spans="1:9" ht="14.25" customHeight="1">
      <c r="A1546" s="410"/>
      <c r="B1546" s="609" t="s">
        <v>659</v>
      </c>
      <c r="C1546" s="411"/>
      <c r="D1546" s="490"/>
      <c r="E1546" s="434"/>
      <c r="F1546" s="802"/>
      <c r="G1546" s="434"/>
      <c r="H1546" s="637"/>
      <c r="I1546" s="637">
        <v>6900000</v>
      </c>
    </row>
    <row r="1547" spans="1:9" ht="14.25" customHeight="1">
      <c r="A1547" s="410"/>
      <c r="B1547" s="609" t="s">
        <v>660</v>
      </c>
      <c r="C1547" s="411"/>
      <c r="D1547" s="490"/>
      <c r="E1547" s="434"/>
      <c r="F1547" s="802"/>
      <c r="G1547" s="434"/>
      <c r="H1547" s="637"/>
      <c r="I1547" s="637"/>
    </row>
    <row r="1548" spans="1:9" ht="14.25" customHeight="1">
      <c r="A1548" s="410"/>
      <c r="B1548" s="609" t="s">
        <v>514</v>
      </c>
      <c r="C1548" s="411"/>
      <c r="D1548" s="490"/>
      <c r="E1548" s="434"/>
      <c r="F1548" s="802"/>
      <c r="G1548" s="434"/>
      <c r="H1548" s="637"/>
      <c r="I1548" s="637">
        <v>2000000</v>
      </c>
    </row>
    <row r="1549" spans="1:9" ht="14.25" customHeight="1">
      <c r="A1549" s="410"/>
      <c r="B1549" s="609" t="s">
        <v>710</v>
      </c>
      <c r="C1549" s="411"/>
      <c r="D1549" s="490"/>
      <c r="E1549" s="434"/>
      <c r="F1549" s="802"/>
      <c r="G1549" s="434"/>
      <c r="H1549" s="637"/>
      <c r="I1549" s="637">
        <v>152459.57</v>
      </c>
    </row>
    <row r="1550" spans="1:9" ht="14.25" customHeight="1">
      <c r="A1550" s="410"/>
      <c r="B1550" s="609" t="s">
        <v>661</v>
      </c>
      <c r="C1550" s="411"/>
      <c r="D1550" s="490"/>
      <c r="E1550" s="434"/>
      <c r="F1550" s="802"/>
      <c r="G1550" s="434"/>
      <c r="H1550" s="637"/>
      <c r="I1550" s="637">
        <v>200000</v>
      </c>
    </row>
    <row r="1551" spans="1:9" ht="14.25" customHeight="1">
      <c r="A1551" s="410"/>
      <c r="B1551" s="609" t="s">
        <v>662</v>
      </c>
      <c r="C1551" s="411"/>
      <c r="D1551" s="490"/>
      <c r="E1551" s="434"/>
      <c r="F1551" s="802"/>
      <c r="G1551" s="434"/>
      <c r="H1551" s="637"/>
      <c r="I1551" s="637">
        <v>347526.2</v>
      </c>
    </row>
    <row r="1552" spans="1:9" ht="14.25" customHeight="1">
      <c r="A1552" s="410"/>
      <c r="B1552" s="609" t="s">
        <v>663</v>
      </c>
      <c r="C1552" s="411"/>
      <c r="D1552" s="490"/>
      <c r="E1552" s="434"/>
      <c r="F1552" s="802"/>
      <c r="G1552" s="434"/>
      <c r="H1552" s="637"/>
      <c r="I1552" s="637">
        <v>200000</v>
      </c>
    </row>
    <row r="1553" spans="1:9" ht="12" customHeight="1">
      <c r="A1553" s="410" t="s">
        <v>144</v>
      </c>
      <c r="B1553" s="411"/>
      <c r="C1553" s="411"/>
      <c r="D1553" s="485"/>
      <c r="E1553" s="434"/>
      <c r="F1553" s="637"/>
      <c r="G1553" s="434"/>
      <c r="H1553" s="638"/>
      <c r="I1553" s="638"/>
    </row>
    <row r="1554" spans="1:9" ht="12" customHeight="1">
      <c r="A1554" s="592"/>
      <c r="B1554" s="607" t="s">
        <v>145</v>
      </c>
      <c r="C1554" s="411"/>
      <c r="D1554" s="975"/>
      <c r="E1554" s="434"/>
      <c r="F1554" s="802"/>
      <c r="G1554" s="434"/>
      <c r="H1554" s="638"/>
      <c r="I1554" s="638"/>
    </row>
    <row r="1555" spans="1:9" ht="15.75">
      <c r="A1555" s="410"/>
      <c r="B1555" s="10" t="s">
        <v>664</v>
      </c>
      <c r="C1555" s="550"/>
      <c r="D1555" s="485"/>
      <c r="E1555" s="434">
        <v>247462.5</v>
      </c>
      <c r="F1555" s="802"/>
      <c r="G1555" s="434"/>
      <c r="H1555" s="650"/>
      <c r="I1555" s="650"/>
    </row>
    <row r="1556" spans="1:11" s="3" customFormat="1" ht="21" customHeight="1">
      <c r="A1556" s="612" t="s">
        <v>146</v>
      </c>
      <c r="B1556" s="411"/>
      <c r="C1556" s="411"/>
      <c r="D1556" s="485"/>
      <c r="E1556" s="491">
        <f>E1557+E1565+E1566+E1567+E1569+E1570+E1571+E1583+E1585+E1587+E1592+E1593+E1572</f>
        <v>11038887.75</v>
      </c>
      <c r="F1556" s="845">
        <f>F1557+F1571+F1572+F1574+F1575+F1576+F1580</f>
        <v>9220622.78</v>
      </c>
      <c r="G1556" s="613">
        <f>H1556-F1556</f>
        <v>5777149.550000001</v>
      </c>
      <c r="H1556" s="613">
        <f>H1557+H1566+H1568+H1571+H1572+H1573+H1574+H1575+H1576+H1577+H1578+H1580+H1585+H1589</f>
        <v>14997772.33</v>
      </c>
      <c r="I1556" s="636">
        <f>I1557+I1567+I1568+I1571+I1572+I1573+I1574+I1575+I1576+I1577+I1578+I1581+I1584+I1585+I1586+I1588+I1590+I1592+I1594</f>
        <v>14179635</v>
      </c>
      <c r="J1556" s="784"/>
      <c r="K1556" s="784"/>
    </row>
    <row r="1557" spans="1:11" s="3" customFormat="1" ht="21" customHeight="1">
      <c r="A1557" s="410" t="s">
        <v>147</v>
      </c>
      <c r="B1557" s="411"/>
      <c r="C1557" s="411"/>
      <c r="D1557" s="485"/>
      <c r="E1557" s="437">
        <f>3630438+33066.75</f>
        <v>3663504.75</v>
      </c>
      <c r="F1557" s="846">
        <v>4008087.18</v>
      </c>
      <c r="G1557" s="979">
        <f>H1557-F1557</f>
        <v>0</v>
      </c>
      <c r="H1557" s="638">
        <v>4008087.18</v>
      </c>
      <c r="I1557" s="638">
        <v>4253890</v>
      </c>
      <c r="J1557" s="784"/>
      <c r="K1557" s="784"/>
    </row>
    <row r="1558" spans="1:11" s="3" customFormat="1" ht="21" customHeight="1">
      <c r="A1558" s="497" t="s">
        <v>148</v>
      </c>
      <c r="B1558" s="498"/>
      <c r="C1558" s="498"/>
      <c r="D1558" s="772"/>
      <c r="E1558" s="494"/>
      <c r="F1558" s="984"/>
      <c r="G1558" s="978"/>
      <c r="H1558" s="985"/>
      <c r="I1558" s="985"/>
      <c r="J1558" s="784"/>
      <c r="K1558" s="784"/>
    </row>
    <row r="1561" spans="1:11" s="3" customFormat="1" ht="21" customHeight="1">
      <c r="A1561" s="986" t="s">
        <v>180</v>
      </c>
      <c r="B1561" s="407"/>
      <c r="C1561" s="407"/>
      <c r="D1561" s="977"/>
      <c r="E1561" s="409"/>
      <c r="F1561" s="894"/>
      <c r="G1561" s="409"/>
      <c r="H1561" s="894"/>
      <c r="I1561" s="895"/>
      <c r="J1561" s="784"/>
      <c r="K1561" s="784"/>
    </row>
    <row r="1562" spans="1:11" s="3" customFormat="1" ht="21" customHeight="1">
      <c r="A1562" s="592" t="s">
        <v>278</v>
      </c>
      <c r="B1562" s="411"/>
      <c r="C1562" s="411"/>
      <c r="D1562" s="976"/>
      <c r="E1562" s="413"/>
      <c r="F1562" s="648"/>
      <c r="G1562" s="413"/>
      <c r="H1562" s="648"/>
      <c r="I1562" s="651"/>
      <c r="J1562" s="784"/>
      <c r="K1562" s="784"/>
    </row>
    <row r="1563" spans="1:9" ht="14.25" customHeight="1">
      <c r="A1563" s="497"/>
      <c r="B1563" s="610"/>
      <c r="C1563" s="498"/>
      <c r="D1563" s="604"/>
      <c r="E1563" s="565"/>
      <c r="F1563" s="649"/>
      <c r="G1563" s="565"/>
      <c r="H1563" s="649"/>
      <c r="I1563" s="825"/>
    </row>
    <row r="1564" spans="1:11" s="3" customFormat="1" ht="19.5" customHeight="1">
      <c r="A1564" s="410"/>
      <c r="B1564" s="614" t="s">
        <v>426</v>
      </c>
      <c r="C1564" s="411"/>
      <c r="D1564" s="689"/>
      <c r="E1564" s="434"/>
      <c r="F1564" s="802"/>
      <c r="G1564" s="438"/>
      <c r="H1564" s="638"/>
      <c r="I1564" s="638"/>
      <c r="J1564" s="784"/>
      <c r="K1564" s="784"/>
    </row>
    <row r="1565" spans="1:11" s="3" customFormat="1" ht="16.5" customHeight="1">
      <c r="A1565" s="410"/>
      <c r="B1565" s="411"/>
      <c r="C1565" s="411" t="s">
        <v>417</v>
      </c>
      <c r="D1565" s="689"/>
      <c r="E1565" s="434">
        <v>1439154.71</v>
      </c>
      <c r="F1565" s="802"/>
      <c r="G1565" s="434"/>
      <c r="H1565" s="637"/>
      <c r="I1565" s="637"/>
      <c r="J1565" s="784"/>
      <c r="K1565" s="784"/>
    </row>
    <row r="1566" spans="1:11" s="3" customFormat="1" ht="21" customHeight="1">
      <c r="A1566" s="410"/>
      <c r="B1566" s="411"/>
      <c r="C1566" s="411" t="s">
        <v>418</v>
      </c>
      <c r="D1566" s="689"/>
      <c r="E1566" s="434">
        <f>150000+72000</f>
        <v>222000</v>
      </c>
      <c r="F1566" s="802"/>
      <c r="G1566" s="434">
        <f>H1566-F1566</f>
        <v>157000</v>
      </c>
      <c r="H1566" s="637">
        <v>157000</v>
      </c>
      <c r="I1566" s="637"/>
      <c r="J1566" s="784"/>
      <c r="K1566" s="784"/>
    </row>
    <row r="1567" spans="1:11" s="3" customFormat="1" ht="21" customHeight="1">
      <c r="A1567" s="410"/>
      <c r="B1567" s="411"/>
      <c r="C1567" s="411" t="s">
        <v>515</v>
      </c>
      <c r="D1567" s="689"/>
      <c r="E1567" s="434">
        <v>197000</v>
      </c>
      <c r="F1567" s="802"/>
      <c r="G1567" s="434">
        <f>H1567-F1567</f>
        <v>0</v>
      </c>
      <c r="H1567" s="637"/>
      <c r="I1567" s="637">
        <v>100000</v>
      </c>
      <c r="J1567" s="784"/>
      <c r="K1567" s="784"/>
    </row>
    <row r="1568" spans="1:11" s="3" customFormat="1" ht="21" customHeight="1">
      <c r="A1568" s="410"/>
      <c r="B1568" s="411"/>
      <c r="C1568" s="411" t="s">
        <v>419</v>
      </c>
      <c r="D1568" s="689"/>
      <c r="E1568" s="434">
        <v>0</v>
      </c>
      <c r="F1568" s="802"/>
      <c r="G1568" s="434">
        <f>H1568-F1568</f>
        <v>1800000</v>
      </c>
      <c r="H1568" s="637">
        <v>1800000</v>
      </c>
      <c r="I1568" s="637">
        <v>1700000</v>
      </c>
      <c r="J1568" s="784"/>
      <c r="K1568" s="784"/>
    </row>
    <row r="1569" spans="1:11" s="3" customFormat="1" ht="21" customHeight="1">
      <c r="A1569" s="410"/>
      <c r="B1569" s="411"/>
      <c r="C1569" s="411" t="s">
        <v>665</v>
      </c>
      <c r="D1569" s="689"/>
      <c r="E1569" s="434">
        <v>250000</v>
      </c>
      <c r="F1569" s="802"/>
      <c r="G1569" s="434">
        <f>H1569-F1569</f>
        <v>0</v>
      </c>
      <c r="H1569" s="637"/>
      <c r="I1569" s="637"/>
      <c r="J1569" s="784"/>
      <c r="K1569" s="784"/>
    </row>
    <row r="1570" spans="1:11" s="3" customFormat="1" ht="21" customHeight="1">
      <c r="A1570" s="410"/>
      <c r="B1570" s="411"/>
      <c r="C1570" s="411" t="s">
        <v>666</v>
      </c>
      <c r="D1570" s="689"/>
      <c r="E1570" s="434">
        <v>597837.18</v>
      </c>
      <c r="F1570" s="802"/>
      <c r="G1570" s="434"/>
      <c r="H1570" s="637"/>
      <c r="I1570" s="637"/>
      <c r="J1570" s="784"/>
      <c r="K1570" s="784"/>
    </row>
    <row r="1571" spans="1:11" s="3" customFormat="1" ht="21" customHeight="1">
      <c r="A1571" s="410"/>
      <c r="B1571" s="411"/>
      <c r="C1571" s="411" t="s">
        <v>667</v>
      </c>
      <c r="D1571" s="689"/>
      <c r="E1571" s="434">
        <v>600000</v>
      </c>
      <c r="F1571" s="802">
        <v>4564118.02</v>
      </c>
      <c r="G1571" s="434">
        <f>H1571-F1571</f>
        <v>329068.98000000045</v>
      </c>
      <c r="H1571" s="637">
        <v>4893187</v>
      </c>
      <c r="I1571" s="637">
        <v>1000000</v>
      </c>
      <c r="J1571" s="784"/>
      <c r="K1571" s="784"/>
    </row>
    <row r="1572" spans="1:11" s="3" customFormat="1" ht="21" customHeight="1">
      <c r="A1572" s="410"/>
      <c r="B1572" s="411"/>
      <c r="C1572" s="411" t="s">
        <v>668</v>
      </c>
      <c r="D1572" s="689"/>
      <c r="E1572" s="434">
        <v>5155.75</v>
      </c>
      <c r="F1572" s="802">
        <v>241974</v>
      </c>
      <c r="G1572" s="434">
        <f aca="true" t="shared" si="42" ref="G1572:G1580">H1572-F1572</f>
        <v>908042.4199999999</v>
      </c>
      <c r="H1572" s="637">
        <v>1150016.42</v>
      </c>
      <c r="I1572" s="637">
        <f>300000+300000+100000</f>
        <v>700000</v>
      </c>
      <c r="J1572" s="784"/>
      <c r="K1572" s="784"/>
    </row>
    <row r="1573" spans="1:11" s="3" customFormat="1" ht="21" customHeight="1">
      <c r="A1573" s="410"/>
      <c r="B1573" s="411"/>
      <c r="C1573" s="411" t="s">
        <v>669</v>
      </c>
      <c r="D1573" s="689"/>
      <c r="E1573" s="434"/>
      <c r="F1573" s="802"/>
      <c r="G1573" s="434">
        <f t="shared" si="42"/>
        <v>100000</v>
      </c>
      <c r="H1573" s="637">
        <v>100000</v>
      </c>
      <c r="I1573" s="637">
        <v>100000</v>
      </c>
      <c r="J1573" s="784"/>
      <c r="K1573" s="784"/>
    </row>
    <row r="1574" spans="1:11" s="3" customFormat="1" ht="21" customHeight="1">
      <c r="A1574" s="410"/>
      <c r="B1574" s="411"/>
      <c r="C1574" s="411" t="s">
        <v>670</v>
      </c>
      <c r="D1574" s="689"/>
      <c r="E1574" s="434"/>
      <c r="F1574" s="802">
        <v>158000</v>
      </c>
      <c r="G1574" s="434">
        <f t="shared" si="42"/>
        <v>135000</v>
      </c>
      <c r="H1574" s="637">
        <v>293000</v>
      </c>
      <c r="I1574" s="637">
        <v>500000</v>
      </c>
      <c r="J1574" s="784"/>
      <c r="K1574" s="784"/>
    </row>
    <row r="1575" spans="1:11" s="3" customFormat="1" ht="21" customHeight="1">
      <c r="A1575" s="410"/>
      <c r="B1575" s="411"/>
      <c r="C1575" s="615" t="s">
        <v>671</v>
      </c>
      <c r="D1575" s="689"/>
      <c r="E1575" s="434"/>
      <c r="F1575" s="802">
        <v>22768.58</v>
      </c>
      <c r="G1575" s="434">
        <f t="shared" si="42"/>
        <v>127231.42</v>
      </c>
      <c r="H1575" s="637">
        <v>150000</v>
      </c>
      <c r="I1575" s="637">
        <v>100000</v>
      </c>
      <c r="J1575" s="784"/>
      <c r="K1575" s="784"/>
    </row>
    <row r="1576" spans="1:11" s="3" customFormat="1" ht="21" customHeight="1">
      <c r="A1576" s="410"/>
      <c r="B1576" s="411"/>
      <c r="C1576" s="411" t="s">
        <v>672</v>
      </c>
      <c r="D1576" s="689"/>
      <c r="E1576" s="434"/>
      <c r="F1576" s="802">
        <v>172325</v>
      </c>
      <c r="G1576" s="434">
        <f t="shared" si="42"/>
        <v>127675</v>
      </c>
      <c r="H1576" s="637">
        <v>300000</v>
      </c>
      <c r="I1576" s="637">
        <v>400000</v>
      </c>
      <c r="J1576" s="784"/>
      <c r="K1576" s="784"/>
    </row>
    <row r="1577" spans="1:11" s="3" customFormat="1" ht="21" customHeight="1">
      <c r="A1577" s="410"/>
      <c r="B1577" s="411"/>
      <c r="C1577" s="411" t="s">
        <v>673</v>
      </c>
      <c r="D1577" s="689"/>
      <c r="E1577" s="434"/>
      <c r="F1577" s="802"/>
      <c r="G1577" s="434">
        <f t="shared" si="42"/>
        <v>50000</v>
      </c>
      <c r="H1577" s="637">
        <v>50000</v>
      </c>
      <c r="I1577" s="637">
        <v>100000</v>
      </c>
      <c r="J1577" s="784"/>
      <c r="K1577" s="784"/>
    </row>
    <row r="1578" spans="1:11" s="3" customFormat="1" ht="21" customHeight="1">
      <c r="A1578" s="410"/>
      <c r="B1578" s="411"/>
      <c r="C1578" s="411" t="s">
        <v>674</v>
      </c>
      <c r="D1578" s="689"/>
      <c r="E1578" s="434"/>
      <c r="F1578" s="802"/>
      <c r="G1578" s="434">
        <f t="shared" si="42"/>
        <v>50000</v>
      </c>
      <c r="H1578" s="637">
        <v>50000</v>
      </c>
      <c r="I1578" s="637">
        <v>100000</v>
      </c>
      <c r="J1578" s="784"/>
      <c r="K1578" s="784"/>
    </row>
    <row r="1579" spans="1:11" s="3" customFormat="1" ht="21" customHeight="1">
      <c r="A1579" s="410"/>
      <c r="B1579" s="411"/>
      <c r="C1579" s="411" t="s">
        <v>675</v>
      </c>
      <c r="D1579" s="760"/>
      <c r="E1579" s="434"/>
      <c r="F1579" s="802"/>
      <c r="G1579" s="434"/>
      <c r="H1579" s="637"/>
      <c r="I1579" s="637"/>
      <c r="J1579" s="784"/>
      <c r="K1579" s="784"/>
    </row>
    <row r="1580" spans="1:11" s="3" customFormat="1" ht="21" customHeight="1">
      <c r="A1580" s="410"/>
      <c r="B1580" s="411"/>
      <c r="C1580" s="411" t="s">
        <v>622</v>
      </c>
      <c r="D1580" s="760"/>
      <c r="E1580" s="434"/>
      <c r="F1580" s="802">
        <v>53350</v>
      </c>
      <c r="G1580" s="434">
        <f t="shared" si="42"/>
        <v>1584131.73</v>
      </c>
      <c r="H1580" s="637">
        <v>1637481.73</v>
      </c>
      <c r="I1580" s="637"/>
      <c r="J1580" s="784"/>
      <c r="K1580" s="784"/>
    </row>
    <row r="1581" spans="1:11" s="3" customFormat="1" ht="21" customHeight="1">
      <c r="A1581" s="410"/>
      <c r="B1581" s="411"/>
      <c r="C1581" s="411" t="s">
        <v>676</v>
      </c>
      <c r="D1581" s="719"/>
      <c r="E1581" s="434"/>
      <c r="F1581" s="802"/>
      <c r="G1581" s="434"/>
      <c r="H1581" s="637"/>
      <c r="I1581" s="637">
        <v>400000</v>
      </c>
      <c r="J1581" s="784"/>
      <c r="K1581" s="784"/>
    </row>
    <row r="1582" spans="1:11" s="3" customFormat="1" ht="21" customHeight="1">
      <c r="A1582" s="410"/>
      <c r="B1582" s="563" t="s">
        <v>427</v>
      </c>
      <c r="C1582" s="411"/>
      <c r="D1582" s="689"/>
      <c r="E1582" s="434"/>
      <c r="F1582" s="802"/>
      <c r="G1582" s="434"/>
      <c r="H1582" s="637"/>
      <c r="I1582" s="637"/>
      <c r="J1582" s="784"/>
      <c r="K1582" s="784"/>
    </row>
    <row r="1583" spans="1:11" s="3" customFormat="1" ht="21" customHeight="1">
      <c r="A1583" s="410"/>
      <c r="B1583" s="411"/>
      <c r="C1583" s="411" t="s">
        <v>420</v>
      </c>
      <c r="D1583" s="689"/>
      <c r="E1583" s="434">
        <v>3000000</v>
      </c>
      <c r="F1583" s="802"/>
      <c r="G1583" s="434">
        <f>H1583-F1583</f>
        <v>0</v>
      </c>
      <c r="H1583" s="637"/>
      <c r="I1583" s="637"/>
      <c r="J1583" s="784"/>
      <c r="K1583" s="784"/>
    </row>
    <row r="1584" spans="1:11" s="3" customFormat="1" ht="21" customHeight="1">
      <c r="A1584" s="410"/>
      <c r="B1584" s="411"/>
      <c r="C1584" s="607" t="s">
        <v>506</v>
      </c>
      <c r="D1584" s="719"/>
      <c r="E1584" s="434"/>
      <c r="F1584" s="802"/>
      <c r="G1584" s="434"/>
      <c r="H1584" s="637"/>
      <c r="I1584" s="637">
        <v>1500000</v>
      </c>
      <c r="J1584" s="784"/>
      <c r="K1584" s="784"/>
    </row>
    <row r="1585" spans="1:11" s="3" customFormat="1" ht="21" customHeight="1">
      <c r="A1585" s="410"/>
      <c r="B1585" s="411"/>
      <c r="C1585" s="411" t="s">
        <v>421</v>
      </c>
      <c r="D1585" s="720"/>
      <c r="E1585" s="434">
        <v>350000</v>
      </c>
      <c r="F1585" s="802"/>
      <c r="G1585" s="434">
        <f>H1585-F1585</f>
        <v>310000</v>
      </c>
      <c r="H1585" s="637">
        <f>275000+35000</f>
        <v>310000</v>
      </c>
      <c r="I1585" s="637">
        <f>300000+75745</f>
        <v>375745</v>
      </c>
      <c r="J1585" s="784"/>
      <c r="K1585" s="784"/>
    </row>
    <row r="1586" spans="1:11" s="3" customFormat="1" ht="21" customHeight="1">
      <c r="A1586" s="410"/>
      <c r="B1586" s="411"/>
      <c r="C1586" s="493" t="s">
        <v>422</v>
      </c>
      <c r="D1586" s="485"/>
      <c r="E1586" s="434"/>
      <c r="F1586" s="637"/>
      <c r="G1586" s="434"/>
      <c r="H1586" s="637"/>
      <c r="I1586" s="637">
        <v>50000</v>
      </c>
      <c r="J1586" s="784"/>
      <c r="K1586" s="784"/>
    </row>
    <row r="1587" spans="1:11" s="3" customFormat="1" ht="21" customHeight="1">
      <c r="A1587" s="410"/>
      <c r="B1587" s="411"/>
      <c r="C1587" s="721" t="s">
        <v>429</v>
      </c>
      <c r="D1587" s="485"/>
      <c r="E1587" s="434">
        <v>32370</v>
      </c>
      <c r="F1587" s="637"/>
      <c r="G1587" s="434">
        <f>H1587-F1587</f>
        <v>0</v>
      </c>
      <c r="H1587" s="637"/>
      <c r="I1587" s="637"/>
      <c r="J1587" s="784"/>
      <c r="K1587" s="784"/>
    </row>
    <row r="1588" spans="1:11" s="3" customFormat="1" ht="21" customHeight="1">
      <c r="A1588" s="410"/>
      <c r="B1588" s="411"/>
      <c r="C1588" s="493" t="s">
        <v>455</v>
      </c>
      <c r="D1588" s="485"/>
      <c r="E1588" s="434"/>
      <c r="F1588" s="637"/>
      <c r="G1588" s="434"/>
      <c r="H1588" s="637"/>
      <c r="I1588" s="637">
        <v>500000</v>
      </c>
      <c r="J1588" s="784"/>
      <c r="K1588" s="784"/>
    </row>
    <row r="1589" spans="1:11" s="3" customFormat="1" ht="21" customHeight="1">
      <c r="A1589" s="410"/>
      <c r="B1589" s="411"/>
      <c r="C1589" s="721" t="s">
        <v>456</v>
      </c>
      <c r="D1589" s="485"/>
      <c r="E1589" s="434"/>
      <c r="F1589" s="637"/>
      <c r="G1589" s="434">
        <f aca="true" t="shared" si="43" ref="G1589:G1594">H1589-F1589</f>
        <v>99000</v>
      </c>
      <c r="H1589" s="637">
        <v>99000</v>
      </c>
      <c r="I1589" s="637"/>
      <c r="J1589" s="784"/>
      <c r="K1589" s="784"/>
    </row>
    <row r="1590" spans="1:11" s="3" customFormat="1" ht="21" customHeight="1">
      <c r="A1590" s="410"/>
      <c r="B1590" s="411"/>
      <c r="C1590" s="411" t="s">
        <v>463</v>
      </c>
      <c r="D1590" s="689"/>
      <c r="E1590" s="434"/>
      <c r="F1590" s="802"/>
      <c r="G1590" s="434">
        <f t="shared" si="43"/>
        <v>0</v>
      </c>
      <c r="H1590" s="637"/>
      <c r="I1590" s="637">
        <v>200000</v>
      </c>
      <c r="J1590" s="784"/>
      <c r="K1590" s="784"/>
    </row>
    <row r="1591" spans="1:11" s="3" customFormat="1" ht="21" customHeight="1">
      <c r="A1591" s="410"/>
      <c r="B1591" s="563" t="s">
        <v>428</v>
      </c>
      <c r="C1591" s="411"/>
      <c r="D1591" s="689"/>
      <c r="E1591" s="434"/>
      <c r="F1591" s="802"/>
      <c r="G1591" s="434">
        <f t="shared" si="43"/>
        <v>0</v>
      </c>
      <c r="H1591" s="637"/>
      <c r="I1591" s="637"/>
      <c r="J1591" s="784"/>
      <c r="K1591" s="784"/>
    </row>
    <row r="1592" spans="1:11" s="3" customFormat="1" ht="21" customHeight="1">
      <c r="A1592" s="410"/>
      <c r="B1592" s="411"/>
      <c r="C1592" s="609" t="s">
        <v>507</v>
      </c>
      <c r="D1592" s="689"/>
      <c r="E1592" s="434">
        <v>600000</v>
      </c>
      <c r="F1592" s="802"/>
      <c r="G1592" s="434">
        <f t="shared" si="43"/>
        <v>0</v>
      </c>
      <c r="H1592" s="637"/>
      <c r="I1592" s="637">
        <v>600000</v>
      </c>
      <c r="J1592" s="784"/>
      <c r="K1592" s="784"/>
    </row>
    <row r="1593" spans="1:11" s="3" customFormat="1" ht="21" customHeight="1">
      <c r="A1593" s="410"/>
      <c r="B1593" s="411"/>
      <c r="C1593" s="609" t="s">
        <v>423</v>
      </c>
      <c r="D1593" s="689"/>
      <c r="E1593" s="434">
        <v>81865.36</v>
      </c>
      <c r="F1593" s="802"/>
      <c r="G1593" s="434">
        <f t="shared" si="43"/>
        <v>0</v>
      </c>
      <c r="H1593" s="637"/>
      <c r="I1593" s="637"/>
      <c r="J1593" s="784"/>
      <c r="K1593" s="784"/>
    </row>
    <row r="1594" spans="1:11" s="3" customFormat="1" ht="21" customHeight="1">
      <c r="A1594" s="410"/>
      <c r="B1594" s="411"/>
      <c r="C1594" s="411" t="s">
        <v>483</v>
      </c>
      <c r="D1594" s="689"/>
      <c r="E1594" s="434"/>
      <c r="F1594" s="802"/>
      <c r="G1594" s="434">
        <f t="shared" si="43"/>
        <v>0</v>
      </c>
      <c r="H1594" s="637"/>
      <c r="I1594" s="637">
        <v>1500000</v>
      </c>
      <c r="J1594" s="784"/>
      <c r="K1594" s="784"/>
    </row>
    <row r="1595" spans="1:11" s="3" customFormat="1" ht="10.5" customHeight="1">
      <c r="A1595" s="410"/>
      <c r="B1595" s="411"/>
      <c r="C1595" s="411"/>
      <c r="D1595" s="689"/>
      <c r="E1595" s="434"/>
      <c r="F1595" s="802"/>
      <c r="G1595" s="438"/>
      <c r="H1595" s="637"/>
      <c r="I1595" s="637"/>
      <c r="J1595" s="784"/>
      <c r="K1595" s="784"/>
    </row>
    <row r="1596" spans="1:11" s="3" customFormat="1" ht="21" customHeight="1" thickBot="1">
      <c r="A1596" s="686" t="s">
        <v>682</v>
      </c>
      <c r="B1596" s="687"/>
      <c r="C1596" s="687"/>
      <c r="D1596" s="595"/>
      <c r="E1596" s="616">
        <f>E1556+E1496+E1493+E1439+E1321+E1303+E101</f>
        <v>85545195.82000001</v>
      </c>
      <c r="F1596" s="616">
        <f>F1556+F1496+F1493+F1439+F1321+F1303+F101</f>
        <v>36282939.83</v>
      </c>
      <c r="G1596" s="616">
        <f>G1556+G1496+G1493+G1439+G1321+G1303+G101</f>
        <v>61992993.620000005</v>
      </c>
      <c r="H1596" s="616">
        <f>H1556+H1496+H1493+H1439+H1321+H1303+H101</f>
        <v>98275933.45</v>
      </c>
      <c r="I1596" s="884">
        <f>I1556+I1496+I1493+I1439+I1321+I1303</f>
        <v>101929161.2</v>
      </c>
      <c r="J1596" s="784"/>
      <c r="K1596" s="784"/>
    </row>
    <row r="1597" spans="1:11" s="3" customFormat="1" ht="21" customHeight="1">
      <c r="A1597" s="730" t="s">
        <v>244</v>
      </c>
      <c r="B1597" s="731"/>
      <c r="C1597" s="731"/>
      <c r="D1597" s="732"/>
      <c r="E1597" s="733">
        <f>E1596+E111+E178+E250+E318+E395+E482+E559+E633+E712+E862+E936+E1019+E1111+E1192+E1270+E794</f>
        <v>239497427.33999997</v>
      </c>
      <c r="F1597" s="733">
        <f>F1596+F111+F178+F250+F318+F395+F482+F559+F633+F712+F862+F936+F1019+F1111+F1192+F1270+F794</f>
        <v>119234509.38999999</v>
      </c>
      <c r="G1597" s="733">
        <f>G1596+G111+G178+G250+G318+G395+G482+G559+G633+G712+G862+G936+G1019+G1111+G1192+G1270+G794</f>
        <v>169147940.52999997</v>
      </c>
      <c r="H1597" s="733">
        <f>H1596+H111+H178+H250+H318+H395+H482+H559+H633+H712+H862+H936+H1019+H1111+H1192+H1270+H794</f>
        <v>288382449.92</v>
      </c>
      <c r="I1597" s="733">
        <f>I1596+I111+I178+I250+I318+I395+I482+I559+I633+I712+I862+I936+I1019+I1111+I1192+I1270+I794</f>
        <v>283562971.252499</v>
      </c>
      <c r="J1597" s="784"/>
      <c r="K1597" s="784"/>
    </row>
    <row r="1598" spans="1:11" s="3" customFormat="1" ht="21" customHeight="1">
      <c r="A1598" s="414"/>
      <c r="B1598" s="563"/>
      <c r="C1598" s="563"/>
      <c r="D1598" s="726"/>
      <c r="E1598" s="525"/>
      <c r="F1598" s="847"/>
      <c r="G1598" s="525"/>
      <c r="H1598" s="729"/>
      <c r="I1598" s="885"/>
      <c r="J1598" s="784"/>
      <c r="K1598" s="784"/>
    </row>
    <row r="1599" spans="1:11" s="3" customFormat="1" ht="21" customHeight="1">
      <c r="A1599" s="414"/>
      <c r="B1599" s="563"/>
      <c r="C1599" s="563"/>
      <c r="D1599" s="726"/>
      <c r="E1599" s="525"/>
      <c r="F1599" s="847"/>
      <c r="G1599" s="525"/>
      <c r="H1599" s="729"/>
      <c r="I1599" s="885"/>
      <c r="J1599" s="784"/>
      <c r="K1599" s="784"/>
    </row>
    <row r="1600" spans="1:11" s="3" customFormat="1" ht="21" customHeight="1">
      <c r="A1600" s="414"/>
      <c r="B1600" s="563"/>
      <c r="C1600" s="563"/>
      <c r="D1600" s="726"/>
      <c r="E1600" s="525"/>
      <c r="F1600" s="848"/>
      <c r="G1600" s="525"/>
      <c r="H1600" s="729"/>
      <c r="I1600" s="885"/>
      <c r="J1600" s="784"/>
      <c r="K1600" s="784"/>
    </row>
    <row r="1601" spans="1:11" s="3" customFormat="1" ht="21" customHeight="1">
      <c r="A1601" s="414"/>
      <c r="B1601" s="563"/>
      <c r="C1601" s="563"/>
      <c r="D1601" s="726"/>
      <c r="E1601" s="525"/>
      <c r="F1601" s="848"/>
      <c r="G1601" s="525"/>
      <c r="H1601" s="729"/>
      <c r="I1601" s="885"/>
      <c r="J1601" s="784"/>
      <c r="K1601" s="784"/>
    </row>
    <row r="1602" spans="1:11" s="3" customFormat="1" ht="21" customHeight="1">
      <c r="A1602" s="414"/>
      <c r="B1602" s="563"/>
      <c r="C1602" s="563"/>
      <c r="D1602" s="726"/>
      <c r="E1602" s="525"/>
      <c r="F1602" s="847"/>
      <c r="G1602" s="525"/>
      <c r="H1602" s="729"/>
      <c r="I1602" s="885"/>
      <c r="J1602" s="784"/>
      <c r="K1602" s="784"/>
    </row>
    <row r="1603" spans="1:11" s="3" customFormat="1" ht="21" customHeight="1">
      <c r="A1603" s="414"/>
      <c r="B1603" s="563"/>
      <c r="C1603" s="563"/>
      <c r="D1603" s="726"/>
      <c r="E1603" s="525"/>
      <c r="F1603" s="847"/>
      <c r="G1603" s="525"/>
      <c r="H1603" s="729"/>
      <c r="I1603" s="885"/>
      <c r="J1603" s="784"/>
      <c r="K1603" s="784"/>
    </row>
    <row r="1604" spans="1:11" s="3" customFormat="1" ht="21" customHeight="1">
      <c r="A1604" s="414"/>
      <c r="B1604" s="563"/>
      <c r="C1604" s="563"/>
      <c r="D1604" s="726"/>
      <c r="E1604" s="525"/>
      <c r="F1604" s="847"/>
      <c r="G1604" s="525"/>
      <c r="H1604" s="729"/>
      <c r="I1604" s="885"/>
      <c r="J1604" s="784"/>
      <c r="K1604" s="784"/>
    </row>
    <row r="1605" spans="1:11" s="3" customFormat="1" ht="21" customHeight="1">
      <c r="A1605" s="414"/>
      <c r="B1605" s="563"/>
      <c r="C1605" s="563"/>
      <c r="D1605" s="726"/>
      <c r="E1605" s="525"/>
      <c r="F1605" s="847"/>
      <c r="G1605" s="525"/>
      <c r="H1605" s="729"/>
      <c r="I1605" s="885"/>
      <c r="J1605" s="784"/>
      <c r="K1605" s="784"/>
    </row>
    <row r="1606" spans="1:11" s="3" customFormat="1" ht="21" customHeight="1">
      <c r="A1606" s="414"/>
      <c r="B1606" s="563"/>
      <c r="C1606" s="563"/>
      <c r="D1606" s="726"/>
      <c r="E1606" s="525"/>
      <c r="F1606" s="847"/>
      <c r="G1606" s="525"/>
      <c r="H1606" s="729"/>
      <c r="I1606" s="885"/>
      <c r="J1606" s="784"/>
      <c r="K1606" s="784"/>
    </row>
    <row r="1607" spans="1:11" s="3" customFormat="1" ht="21" customHeight="1" hidden="1">
      <c r="A1607" s="414"/>
      <c r="B1607" s="563"/>
      <c r="C1607" s="563"/>
      <c r="D1607" s="726"/>
      <c r="E1607" s="525"/>
      <c r="F1607" s="847"/>
      <c r="G1607" s="525"/>
      <c r="H1607" s="729"/>
      <c r="I1607" s="885"/>
      <c r="J1607" s="784"/>
      <c r="K1607" s="784"/>
    </row>
    <row r="1608" spans="1:11" s="3" customFormat="1" ht="21" customHeight="1" hidden="1">
      <c r="A1608" s="414"/>
      <c r="B1608" s="563"/>
      <c r="C1608" s="563"/>
      <c r="D1608" s="726"/>
      <c r="E1608" s="525"/>
      <c r="F1608" s="847"/>
      <c r="G1608" s="525"/>
      <c r="H1608" s="729"/>
      <c r="I1608" s="885"/>
      <c r="J1608" s="784"/>
      <c r="K1608" s="784"/>
    </row>
    <row r="1609" spans="1:11" s="3" customFormat="1" ht="21" customHeight="1" hidden="1">
      <c r="A1609" s="414"/>
      <c r="B1609" s="563"/>
      <c r="C1609" s="563"/>
      <c r="D1609" s="726"/>
      <c r="E1609" s="525"/>
      <c r="F1609" s="847"/>
      <c r="G1609" s="525"/>
      <c r="H1609" s="729"/>
      <c r="I1609" s="885"/>
      <c r="J1609" s="784"/>
      <c r="K1609" s="784"/>
    </row>
    <row r="1610" spans="1:11" s="3" customFormat="1" ht="21" customHeight="1" hidden="1">
      <c r="A1610" s="414"/>
      <c r="B1610" s="563"/>
      <c r="C1610" s="563"/>
      <c r="D1610" s="726"/>
      <c r="E1610" s="525"/>
      <c r="F1610" s="847"/>
      <c r="G1610" s="525"/>
      <c r="H1610" s="729"/>
      <c r="I1610" s="885"/>
      <c r="J1610" s="784"/>
      <c r="K1610" s="784"/>
    </row>
    <row r="1611" spans="1:11" s="3" customFormat="1" ht="21" customHeight="1" hidden="1">
      <c r="A1611" s="414"/>
      <c r="B1611" s="563"/>
      <c r="C1611" s="563"/>
      <c r="D1611" s="726"/>
      <c r="E1611" s="525"/>
      <c r="F1611" s="847"/>
      <c r="G1611" s="525"/>
      <c r="H1611" s="729"/>
      <c r="I1611" s="885"/>
      <c r="J1611" s="784"/>
      <c r="K1611" s="784"/>
    </row>
    <row r="1612" spans="1:11" s="3" customFormat="1" ht="21" customHeight="1" hidden="1">
      <c r="A1612" s="414"/>
      <c r="B1612" s="563"/>
      <c r="C1612" s="563"/>
      <c r="D1612" s="726"/>
      <c r="E1612" s="525"/>
      <c r="F1612" s="847"/>
      <c r="G1612" s="525"/>
      <c r="H1612" s="729" t="s">
        <v>256</v>
      </c>
      <c r="I1612" s="885">
        <f>SUM(I1597:I1611)</f>
        <v>283562971.252499</v>
      </c>
      <c r="J1612" s="784"/>
      <c r="K1612" s="784"/>
    </row>
    <row r="1613" spans="1:11" s="3" customFormat="1" ht="15.75" customHeight="1" hidden="1">
      <c r="A1613" s="406" t="s">
        <v>520</v>
      </c>
      <c r="B1613" s="407"/>
      <c r="C1613" s="407"/>
      <c r="D1613" s="567"/>
      <c r="E1613" s="652"/>
      <c r="F1613" s="849"/>
      <c r="G1613" s="652"/>
      <c r="H1613" s="653"/>
      <c r="I1613" s="886">
        <f>'Form 1b ABR Summary'!J53</f>
        <v>283572631</v>
      </c>
      <c r="J1613" s="784"/>
      <c r="K1613" s="784"/>
    </row>
    <row r="1614" spans="1:11" s="3" customFormat="1" ht="15.75" customHeight="1" hidden="1">
      <c r="A1614" s="410"/>
      <c r="B1614" s="411"/>
      <c r="C1614" s="411"/>
      <c r="D1614" s="688"/>
      <c r="E1614" s="525"/>
      <c r="F1614" s="847"/>
      <c r="G1614" s="525"/>
      <c r="H1614" s="617"/>
      <c r="I1614" s="887"/>
      <c r="J1614" s="784"/>
      <c r="K1614" s="784"/>
    </row>
    <row r="1615" spans="1:11" ht="18.75" customHeight="1" hidden="1">
      <c r="A1615" s="414"/>
      <c r="B1615" s="563"/>
      <c r="C1615" s="563"/>
      <c r="D1615" s="688"/>
      <c r="E1615" s="618"/>
      <c r="F1615" s="847"/>
      <c r="G1615" s="550"/>
      <c r="H1615" s="456"/>
      <c r="I1615" s="888">
        <f>I1613-I1612</f>
        <v>9659.747501015663</v>
      </c>
      <c r="K1615" s="784"/>
    </row>
    <row r="1616" spans="1:11" ht="17.25">
      <c r="A1616" s="460" t="s">
        <v>196</v>
      </c>
      <c r="B1616" s="461"/>
      <c r="C1616" s="465"/>
      <c r="D1616" s="685" t="s">
        <v>197</v>
      </c>
      <c r="E1616" s="467"/>
      <c r="F1616" s="850"/>
      <c r="G1616" s="465" t="s">
        <v>198</v>
      </c>
      <c r="H1616" s="465"/>
      <c r="I1616" s="889"/>
      <c r="K1616" s="784"/>
    </row>
    <row r="1617" spans="1:11" ht="17.25">
      <c r="A1617" s="460"/>
      <c r="B1617" s="461"/>
      <c r="C1617" s="465"/>
      <c r="D1617" s="685"/>
      <c r="E1617" s="467"/>
      <c r="F1617" s="16"/>
      <c r="G1617" s="465"/>
      <c r="H1617" s="465"/>
      <c r="I1617" s="889"/>
      <c r="K1617" s="784"/>
    </row>
    <row r="1618" spans="1:11" ht="17.25">
      <c r="A1618" s="460"/>
      <c r="B1618" s="461"/>
      <c r="C1618" s="465"/>
      <c r="D1618" s="685"/>
      <c r="E1618" s="511"/>
      <c r="F1618" s="16"/>
      <c r="G1618" s="465"/>
      <c r="H1618" s="465"/>
      <c r="I1618" s="889"/>
      <c r="K1618" s="784"/>
    </row>
    <row r="1619" spans="1:11" ht="15" customHeight="1">
      <c r="A1619" s="460"/>
      <c r="B1619" s="465"/>
      <c r="C1619" s="465"/>
      <c r="D1619" s="685"/>
      <c r="E1619" s="467"/>
      <c r="F1619" s="16"/>
      <c r="G1619" s="465"/>
      <c r="H1619" s="546"/>
      <c r="I1619" s="890"/>
      <c r="K1619" s="784"/>
    </row>
    <row r="1620" spans="1:11" ht="9.75" customHeight="1">
      <c r="A1620" s="460"/>
      <c r="B1620" s="465"/>
      <c r="C1620" s="465"/>
      <c r="D1620" s="685"/>
      <c r="E1620" s="467"/>
      <c r="F1620" s="16"/>
      <c r="G1620" s="465"/>
      <c r="H1620" s="465"/>
      <c r="I1620" s="891"/>
      <c r="K1620" s="784"/>
    </row>
    <row r="1621" spans="1:11" ht="17.25">
      <c r="A1621" s="990" t="str">
        <f>D1621</f>
        <v>JANE B. LARIOSA</v>
      </c>
      <c r="B1621" s="465"/>
      <c r="C1621" s="465"/>
      <c r="D1621" s="988" t="str">
        <f>E116</f>
        <v>JANE B. LARIOSA</v>
      </c>
      <c r="E1621" s="467"/>
      <c r="F1621" s="16"/>
      <c r="G1621" s="1091" t="str">
        <f>G116</f>
        <v>WILLIAM E. CALVEZ, CE</v>
      </c>
      <c r="H1621" s="1091"/>
      <c r="I1621" s="1092"/>
      <c r="K1621" s="784"/>
    </row>
    <row r="1622" spans="1:11" ht="17.25">
      <c r="A1622" s="991" t="str">
        <f>D1622</f>
        <v>AO II/OIC MBO</v>
      </c>
      <c r="B1622" s="620"/>
      <c r="C1622" s="620"/>
      <c r="D1622" s="989" t="str">
        <f>E117</f>
        <v>AO II/OIC MBO</v>
      </c>
      <c r="E1622" s="475"/>
      <c r="F1622" s="810"/>
      <c r="G1622" s="1093" t="s">
        <v>155</v>
      </c>
      <c r="H1622" s="1093"/>
      <c r="I1622" s="1094"/>
      <c r="K1622" s="784"/>
    </row>
    <row r="1623" spans="1:11" ht="17.25">
      <c r="A1623" s="621"/>
      <c r="B1623" s="622"/>
      <c r="C1623" s="621"/>
      <c r="D1623" s="623"/>
      <c r="E1623" s="622"/>
      <c r="F1623" s="851"/>
      <c r="G1623" s="621"/>
      <c r="H1623" s="621"/>
      <c r="I1623" s="851"/>
      <c r="K1623" s="784"/>
    </row>
    <row r="1624" spans="1:11" ht="12.75">
      <c r="A1624" s="550"/>
      <c r="B1624" s="551"/>
      <c r="C1624" s="550"/>
      <c r="D1624" s="481"/>
      <c r="E1624" s="551"/>
      <c r="F1624" s="831"/>
      <c r="G1624" s="550"/>
      <c r="H1624" s="552"/>
      <c r="I1624" s="892"/>
      <c r="K1624" s="784"/>
    </row>
    <row r="1625" spans="3:9" ht="12.75">
      <c r="C1625" s="624"/>
      <c r="D1625" s="625"/>
      <c r="F1625" s="852"/>
      <c r="G1625" s="624"/>
      <c r="H1625" s="626"/>
      <c r="I1625" s="893"/>
    </row>
    <row r="1626" spans="2:4" ht="12.75">
      <c r="B1626" s="476"/>
      <c r="C1626" s="624"/>
      <c r="D1626" s="625"/>
    </row>
    <row r="1627" spans="2:9" ht="12.75">
      <c r="B1627" s="476"/>
      <c r="C1627" s="624"/>
      <c r="D1627" s="625"/>
      <c r="F1627" s="852"/>
      <c r="G1627" s="624"/>
      <c r="H1627" s="626"/>
      <c r="I1627" s="893"/>
    </row>
    <row r="1628" spans="2:4" ht="12.75">
      <c r="B1628" s="476"/>
      <c r="C1628" s="624"/>
      <c r="D1628" s="625"/>
    </row>
    <row r="1629" spans="2:9" ht="12.75">
      <c r="B1629" s="476"/>
      <c r="C1629" s="624"/>
      <c r="D1629" s="625"/>
      <c r="F1629" s="852"/>
      <c r="G1629" s="624"/>
      <c r="H1629" s="626"/>
      <c r="I1629" s="893"/>
    </row>
    <row r="1630" spans="2:4" ht="12.75">
      <c r="B1630" s="476"/>
      <c r="C1630" s="624"/>
      <c r="D1630" s="625"/>
    </row>
    <row r="1631" spans="2:9" ht="12.75">
      <c r="B1631" s="476"/>
      <c r="C1631" s="624"/>
      <c r="D1631" s="625"/>
      <c r="F1631" s="852"/>
      <c r="G1631" s="624"/>
      <c r="H1631" s="626"/>
      <c r="I1631" s="893"/>
    </row>
    <row r="1632" spans="2:4" ht="12.75">
      <c r="B1632" s="476"/>
      <c r="C1632" s="624"/>
      <c r="D1632" s="625"/>
    </row>
    <row r="1633" spans="2:9" ht="12.75">
      <c r="B1633" s="476"/>
      <c r="C1633" s="624"/>
      <c r="D1633" s="625"/>
      <c r="F1633" s="852"/>
      <c r="G1633" s="624"/>
      <c r="H1633" s="626"/>
      <c r="I1633" s="893"/>
    </row>
    <row r="1634" spans="2:4" ht="12.75">
      <c r="B1634" s="476"/>
      <c r="C1634" s="624"/>
      <c r="D1634" s="625"/>
    </row>
    <row r="1635" spans="2:9" ht="12.75">
      <c r="B1635" s="476"/>
      <c r="C1635" s="624"/>
      <c r="D1635" s="625"/>
      <c r="F1635" s="852"/>
      <c r="G1635" s="624"/>
      <c r="H1635" s="626"/>
      <c r="I1635" s="893"/>
    </row>
    <row r="1636" spans="2:4" ht="12.75">
      <c r="B1636" s="476"/>
      <c r="C1636" s="624"/>
      <c r="D1636" s="625"/>
    </row>
    <row r="1637" spans="2:9" ht="12.75">
      <c r="B1637" s="476"/>
      <c r="C1637" s="624"/>
      <c r="D1637" s="625"/>
      <c r="F1637" s="852"/>
      <c r="G1637" s="624"/>
      <c r="H1637" s="626"/>
      <c r="I1637" s="893"/>
    </row>
    <row r="1638" spans="2:4" ht="12.75">
      <c r="B1638" s="476"/>
      <c r="C1638" s="624"/>
      <c r="D1638" s="625"/>
    </row>
  </sheetData>
  <sheetProtection/>
  <mergeCells count="195">
    <mergeCell ref="A5:I5"/>
    <mergeCell ref="A6:I6"/>
    <mergeCell ref="A9:C11"/>
    <mergeCell ref="F9:H9"/>
    <mergeCell ref="H10:H11"/>
    <mergeCell ref="A12:C12"/>
    <mergeCell ref="E48:E49"/>
    <mergeCell ref="G48:G49"/>
    <mergeCell ref="I48:I49"/>
    <mergeCell ref="G116:I116"/>
    <mergeCell ref="G117:I117"/>
    <mergeCell ref="A128:I128"/>
    <mergeCell ref="A129:I129"/>
    <mergeCell ref="A132:C134"/>
    <mergeCell ref="F132:H132"/>
    <mergeCell ref="H133:H134"/>
    <mergeCell ref="A135:C135"/>
    <mergeCell ref="E170:E171"/>
    <mergeCell ref="I170:I171"/>
    <mergeCell ref="G185:I185"/>
    <mergeCell ref="G186:I186"/>
    <mergeCell ref="A200:I200"/>
    <mergeCell ref="A201:I201"/>
    <mergeCell ref="A204:C206"/>
    <mergeCell ref="F204:H204"/>
    <mergeCell ref="H205:H206"/>
    <mergeCell ref="A207:C207"/>
    <mergeCell ref="E243:E244"/>
    <mergeCell ref="G243:G244"/>
    <mergeCell ref="I243:I244"/>
    <mergeCell ref="G257:I257"/>
    <mergeCell ref="G258:I258"/>
    <mergeCell ref="A273:I273"/>
    <mergeCell ref="A274:I274"/>
    <mergeCell ref="A277:C279"/>
    <mergeCell ref="F277:H277"/>
    <mergeCell ref="H278:H279"/>
    <mergeCell ref="A280:C280"/>
    <mergeCell ref="E311:E312"/>
    <mergeCell ref="G311:G312"/>
    <mergeCell ref="I311:I312"/>
    <mergeCell ref="D325:F325"/>
    <mergeCell ref="G325:I325"/>
    <mergeCell ref="D326:F326"/>
    <mergeCell ref="G326:I326"/>
    <mergeCell ref="A346:I346"/>
    <mergeCell ref="A347:I347"/>
    <mergeCell ref="A350:C352"/>
    <mergeCell ref="F350:H350"/>
    <mergeCell ref="H351:H352"/>
    <mergeCell ref="A353:C353"/>
    <mergeCell ref="E387:E388"/>
    <mergeCell ref="G387:G388"/>
    <mergeCell ref="I387:I388"/>
    <mergeCell ref="D407:F407"/>
    <mergeCell ref="G407:I407"/>
    <mergeCell ref="D408:F408"/>
    <mergeCell ref="G408:I408"/>
    <mergeCell ref="A409:C409"/>
    <mergeCell ref="A427:I427"/>
    <mergeCell ref="A428:I428"/>
    <mergeCell ref="A431:C433"/>
    <mergeCell ref="F431:H431"/>
    <mergeCell ref="H432:H433"/>
    <mergeCell ref="A434:C434"/>
    <mergeCell ref="E466:E467"/>
    <mergeCell ref="G466:G467"/>
    <mergeCell ref="I466:I467"/>
    <mergeCell ref="G493:I493"/>
    <mergeCell ref="G494:I494"/>
    <mergeCell ref="A513:I513"/>
    <mergeCell ref="A514:I514"/>
    <mergeCell ref="A517:C519"/>
    <mergeCell ref="F517:H517"/>
    <mergeCell ref="H518:H519"/>
    <mergeCell ref="A520:C520"/>
    <mergeCell ref="E552:E553"/>
    <mergeCell ref="G552:G553"/>
    <mergeCell ref="I552:I553"/>
    <mergeCell ref="D567:F567"/>
    <mergeCell ref="G567:I567"/>
    <mergeCell ref="A587:I587"/>
    <mergeCell ref="A588:I588"/>
    <mergeCell ref="A591:C593"/>
    <mergeCell ref="F591:H591"/>
    <mergeCell ref="H592:H593"/>
    <mergeCell ref="A594:C594"/>
    <mergeCell ref="E625:E626"/>
    <mergeCell ref="G625:G626"/>
    <mergeCell ref="I625:I626"/>
    <mergeCell ref="G639:I639"/>
    <mergeCell ref="G640:I640"/>
    <mergeCell ref="A662:I662"/>
    <mergeCell ref="A663:I663"/>
    <mergeCell ref="A666:C668"/>
    <mergeCell ref="F666:H666"/>
    <mergeCell ref="H667:H668"/>
    <mergeCell ref="A669:C669"/>
    <mergeCell ref="E704:E705"/>
    <mergeCell ref="G704:G705"/>
    <mergeCell ref="I704:I705"/>
    <mergeCell ref="G719:I719"/>
    <mergeCell ref="G720:I720"/>
    <mergeCell ref="A739:I739"/>
    <mergeCell ref="A740:I740"/>
    <mergeCell ref="A743:C745"/>
    <mergeCell ref="F743:H743"/>
    <mergeCell ref="H744:H745"/>
    <mergeCell ref="A746:C746"/>
    <mergeCell ref="E786:E787"/>
    <mergeCell ref="G786:G787"/>
    <mergeCell ref="I786:I787"/>
    <mergeCell ref="G801:I801"/>
    <mergeCell ref="G802:I802"/>
    <mergeCell ref="A816:I816"/>
    <mergeCell ref="A817:I817"/>
    <mergeCell ref="A820:C822"/>
    <mergeCell ref="F820:H820"/>
    <mergeCell ref="A823:C823"/>
    <mergeCell ref="E856:E857"/>
    <mergeCell ref="G856:G857"/>
    <mergeCell ref="I856:I857"/>
    <mergeCell ref="G869:I869"/>
    <mergeCell ref="G870:I870"/>
    <mergeCell ref="A871:C871"/>
    <mergeCell ref="A888:I888"/>
    <mergeCell ref="A889:I889"/>
    <mergeCell ref="A892:C894"/>
    <mergeCell ref="F892:H892"/>
    <mergeCell ref="H893:H894"/>
    <mergeCell ref="A895:C895"/>
    <mergeCell ref="E929:E930"/>
    <mergeCell ref="G929:G930"/>
    <mergeCell ref="I929:I930"/>
    <mergeCell ref="G943:I943"/>
    <mergeCell ref="G944:I944"/>
    <mergeCell ref="A963:I963"/>
    <mergeCell ref="A964:I964"/>
    <mergeCell ref="A967:C969"/>
    <mergeCell ref="F967:H967"/>
    <mergeCell ref="H968:H969"/>
    <mergeCell ref="E1007:E1008"/>
    <mergeCell ref="G1007:G1008"/>
    <mergeCell ref="I1007:I1008"/>
    <mergeCell ref="G1027:H1027"/>
    <mergeCell ref="G1031:I1031"/>
    <mergeCell ref="G1032:I1032"/>
    <mergeCell ref="A1053:I1053"/>
    <mergeCell ref="A1054:I1054"/>
    <mergeCell ref="A1057:C1059"/>
    <mergeCell ref="F1057:H1057"/>
    <mergeCell ref="H1058:H1059"/>
    <mergeCell ref="A1060:C1060"/>
    <mergeCell ref="E1097:E1098"/>
    <mergeCell ref="G1097:G1098"/>
    <mergeCell ref="I1097:I1098"/>
    <mergeCell ref="G1114:H1114"/>
    <mergeCell ref="G1118:I1118"/>
    <mergeCell ref="G1119:I1119"/>
    <mergeCell ref="A1131:I1131"/>
    <mergeCell ref="A1132:I1132"/>
    <mergeCell ref="A1135:C1137"/>
    <mergeCell ref="F1135:H1135"/>
    <mergeCell ref="H1136:H1137"/>
    <mergeCell ref="A1138:C1138"/>
    <mergeCell ref="E1175:E1176"/>
    <mergeCell ref="G1175:G1176"/>
    <mergeCell ref="I1175:I1176"/>
    <mergeCell ref="G1199:H1199"/>
    <mergeCell ref="G1203:I1203"/>
    <mergeCell ref="G1204:I1204"/>
    <mergeCell ref="A1222:I1222"/>
    <mergeCell ref="A1223:I1223"/>
    <mergeCell ref="A1226:C1228"/>
    <mergeCell ref="F1226:H1226"/>
    <mergeCell ref="H1227:H1228"/>
    <mergeCell ref="A1299:C1301"/>
    <mergeCell ref="F1299:H1299"/>
    <mergeCell ref="H1300:H1301"/>
    <mergeCell ref="A1229:C1229"/>
    <mergeCell ref="J1253:K1253"/>
    <mergeCell ref="E1263:E1264"/>
    <mergeCell ref="G1263:G1264"/>
    <mergeCell ref="I1263:I1264"/>
    <mergeCell ref="G1273:H1273"/>
    <mergeCell ref="G1621:I1621"/>
    <mergeCell ref="G1622:I1622"/>
    <mergeCell ref="A1302:C1302"/>
    <mergeCell ref="A1321:C1321"/>
    <mergeCell ref="B1329:C1329"/>
    <mergeCell ref="D566:F566"/>
    <mergeCell ref="G1277:I1277"/>
    <mergeCell ref="G1278:I1278"/>
    <mergeCell ref="A1295:I1295"/>
    <mergeCell ref="A1296:I1296"/>
  </mergeCells>
  <printOptions/>
  <pageMargins left="0.67" right="0.11811023622047245" top="1.09" bottom="1.12" header="0.18" footer="0.11811023622047245"/>
  <pageSetup horizontalDpi="600" verticalDpi="600" orientation="portrait" paperSize="5" scale="59" r:id="rId3"/>
  <rowBreaks count="20" manualBreakCount="20">
    <brk id="94" max="8" man="1"/>
    <brk id="121" max="8" man="1"/>
    <brk id="193" max="255" man="1"/>
    <brk id="266" max="255" man="1"/>
    <brk id="339" max="255" man="1"/>
    <brk id="420" max="255" man="1"/>
    <brk id="506" max="255" man="1"/>
    <brk id="580" max="255" man="1"/>
    <brk id="655" max="255" man="1"/>
    <brk id="732" max="255" man="1"/>
    <brk id="809" max="255" man="1"/>
    <brk id="881" max="255" man="1"/>
    <brk id="956" max="255" man="1"/>
    <brk id="1046" max="255" man="1"/>
    <brk id="1124" max="255" man="1"/>
    <brk id="1215" max="255" man="1"/>
    <brk id="1292" max="255" man="1"/>
    <brk id="1376" max="255" man="1"/>
    <brk id="1466" max="8" man="1"/>
    <brk id="15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LGU-Trento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ACER</cp:lastModifiedBy>
  <cp:lastPrinted>2020-10-16T01:36:39Z</cp:lastPrinted>
  <dcterms:created xsi:type="dcterms:W3CDTF">1999-01-04T09:52:09Z</dcterms:created>
  <dcterms:modified xsi:type="dcterms:W3CDTF">2021-03-15T02:50:54Z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1033-10.1.0.5674</vt:lpwstr>
  </property>
</Properties>
</file>